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Содержание" sheetId="1" r:id="rId1"/>
    <sheet name="Краски" sheetId="2" r:id="rId2"/>
    <sheet name="Смеси" sheetId="3" r:id="rId3"/>
    <sheet name="Гипс" sheetId="4" r:id="rId4"/>
    <sheet name="Потолки" sheetId="5" r:id="rId5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B11" authorId="0">
      <text>
        <r>
          <rPr>
            <b/>
            <sz val="8"/>
            <rFont val="Tahoma"/>
            <family val="0"/>
          </rPr>
          <t>А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Б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А2</t>
        </r>
      </text>
    </comment>
    <comment ref="B15" authorId="0">
      <text>
        <r>
          <rPr>
            <b/>
            <sz val="8"/>
            <rFont val="Tahoma"/>
            <family val="0"/>
          </rPr>
          <t>Б2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ГКЛ, ГКЛВ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0"/>
          </rPr>
          <t>Кнауф-лист ГКЛО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ПН 100/40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ПС 100/40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0"/>
          </rPr>
          <t>ПС 100/50</t>
        </r>
      </text>
    </comment>
    <comment ref="H30" authorId="0">
      <text>
        <r>
          <rPr>
            <b/>
            <sz val="8"/>
            <rFont val="Tahoma"/>
            <family val="0"/>
          </rPr>
          <t>ПС 100/50</t>
        </r>
        <r>
          <rPr>
            <sz val="8"/>
            <rFont val="Tahoma"/>
            <family val="0"/>
          </rPr>
          <t xml:space="preserve">
</t>
        </r>
      </text>
    </comment>
    <comment ref="D49" authorId="0">
      <text>
        <r>
          <rPr>
            <sz val="8"/>
            <rFont val="Tahoma"/>
            <family val="0"/>
          </rPr>
          <t xml:space="preserve">профиль 75/40
</t>
        </r>
      </text>
    </comment>
    <comment ref="H49" authorId="0">
      <text>
        <r>
          <rPr>
            <b/>
            <sz val="8"/>
            <rFont val="Tahoma"/>
            <family val="0"/>
          </rPr>
          <t>ПС 100/40</t>
        </r>
        <r>
          <rPr>
            <sz val="8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0"/>
          </rPr>
          <t>профиль 75/50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b/>
            <sz val="8"/>
            <rFont val="Tahoma"/>
            <family val="0"/>
          </rPr>
          <t>ПС 100/50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<sst xmlns="http://schemas.openxmlformats.org/spreadsheetml/2006/main" count="438" uniqueCount="189">
  <si>
    <t>метраж (м2)</t>
  </si>
  <si>
    <t>кол-во слоев</t>
  </si>
  <si>
    <t>л.</t>
  </si>
  <si>
    <t>Эмали</t>
  </si>
  <si>
    <t>ПФ-115 "Универсал"</t>
  </si>
  <si>
    <t>кг.</t>
  </si>
  <si>
    <t>алкидная "Мастер"</t>
  </si>
  <si>
    <t>алкидная "Профи"</t>
  </si>
  <si>
    <t>алкидная "ЛЮКС" для внутренних и наружных работ</t>
  </si>
  <si>
    <t>ПФ-266 для пола "Универсал"</t>
  </si>
  <si>
    <t>ПФ-115 «ОПТИМУМ»</t>
  </si>
  <si>
    <t>ПФ-115 «ЭКОНОМ»</t>
  </si>
  <si>
    <t>ПФ-115 Строительная «ОПТИМУМ»</t>
  </si>
  <si>
    <t>Краска масляная МА-15 Эконом</t>
  </si>
  <si>
    <t>Водные краски</t>
  </si>
  <si>
    <t>КРАСКА ДЛЯ ПОТОЛКА в\д "Универсал"</t>
  </si>
  <si>
    <t>КРАСКА ВЛАГОСТОЙКАЯ в\д "Универсал"</t>
  </si>
  <si>
    <t>КРАСКА ИНТЕРЬЕРНАЯ в\д "Универсал"</t>
  </si>
  <si>
    <t>КРАСКА ДЛЯ НАРУЖНЫХ РАБОТ ВДАК-101 Класс "Универсал"</t>
  </si>
  <si>
    <t>Антисептики</t>
  </si>
  <si>
    <t>Антисептик ELITE WOOD</t>
  </si>
  <si>
    <t>БИОТЕКС "Универсал" для внутренних и наружных работ</t>
  </si>
  <si>
    <t>БИОТЕКС "Стандарт" для внутренних и наружных работ</t>
  </si>
  <si>
    <t>Лаки</t>
  </si>
  <si>
    <t>ЛАК ПАРКЕТНЫЙ АЛКИДНО-УРЕТАНОВЫЙ "Люкс"</t>
  </si>
  <si>
    <t>БЕЛИЛА ТИТАНОВЫЕ МА-15 "Эконом"</t>
  </si>
  <si>
    <t>Масляные краски</t>
  </si>
  <si>
    <t>АКРИЛАТНАЯ КРАСКА ВДАК-101 "Люкс"</t>
  </si>
  <si>
    <t>КРАСКА ДЛЯ ПОТОЛКА СУПЕРБЕЛАЯ в\д "Профи"</t>
  </si>
  <si>
    <t>КРАСКА ВЛАГОСТОЙКАЯ СУПЕРБЕЛАЯ в\д "Профи"</t>
  </si>
  <si>
    <t>КРАСКА МОЮЩАЯСЯ СУПЕРБЕЛАЯ акрилатная "Профи"</t>
  </si>
  <si>
    <t>КРАСКА ИНТЕРЬЕРНАЯ СУПЕРБЕЛАЯ в\д "Профи"</t>
  </si>
  <si>
    <t>КРАСКА МОЮЩАЯСЯ акрилатная "Универсал"</t>
  </si>
  <si>
    <t>БИОТЕКС ГРУНТ "Стандарт" для внутренних и наружных работ</t>
  </si>
  <si>
    <t>ЛАК ПАРКЕТНЫЙ АКРИЛОВО-ПОЛИУРЕТАНОВЫЙ "Люкс"</t>
  </si>
  <si>
    <t>толщина слоя (мм)</t>
  </si>
  <si>
    <t>Юнис +</t>
  </si>
  <si>
    <t>уп.</t>
  </si>
  <si>
    <t>Юнис XXI</t>
  </si>
  <si>
    <t>Юнис 2000</t>
  </si>
  <si>
    <t>Юнис Гранит</t>
  </si>
  <si>
    <t>Юнис Бассейн</t>
  </si>
  <si>
    <t>Юнис Белфикс</t>
  </si>
  <si>
    <t>Флизенклебер</t>
  </si>
  <si>
    <t>Мармоклебер</t>
  </si>
  <si>
    <t>Флексклебер</t>
  </si>
  <si>
    <t>Перлфикс</t>
  </si>
  <si>
    <t>КЛЕИ</t>
  </si>
  <si>
    <t>Штукатурки</t>
  </si>
  <si>
    <t>Юнис Теплон</t>
  </si>
  <si>
    <t>Юнис Силин</t>
  </si>
  <si>
    <t>Юнис Силин Фасадный</t>
  </si>
  <si>
    <t>Юнис Силин Цокольный</t>
  </si>
  <si>
    <t>Ротбанд</t>
  </si>
  <si>
    <t>Гольдбанд</t>
  </si>
  <si>
    <t>МП-75</t>
  </si>
  <si>
    <t>Унтерпутц</t>
  </si>
  <si>
    <t>Зокельпутц</t>
  </si>
  <si>
    <t>Грюнбанд</t>
  </si>
  <si>
    <t>Шпаклевки</t>
  </si>
  <si>
    <t>Юнис KR/LR</t>
  </si>
  <si>
    <t>Юнис Крон</t>
  </si>
  <si>
    <t>Юнис Премиум</t>
  </si>
  <si>
    <t>Юнис Блик</t>
  </si>
  <si>
    <t>Юнис Слайд</t>
  </si>
  <si>
    <t>Юнис Люксор</t>
  </si>
  <si>
    <t>Юнис Фасад белый</t>
  </si>
  <si>
    <t>Юнис Фасад серый</t>
  </si>
  <si>
    <t>Фугенфюллер</t>
  </si>
  <si>
    <t>Фугенфиниш</t>
  </si>
  <si>
    <t>Унифлот</t>
  </si>
  <si>
    <t>Ветонит KR</t>
  </si>
  <si>
    <t>Ветонит LR</t>
  </si>
  <si>
    <t>Грунтовки</t>
  </si>
  <si>
    <t>Юнис Грунт для внутренних работ</t>
  </si>
  <si>
    <t>Юнис Грунт Универсальный</t>
  </si>
  <si>
    <t>Юнис Грунт глубокого проникновения</t>
  </si>
  <si>
    <t>Юнис Бетон актив</t>
  </si>
  <si>
    <t>Бетоконтакт</t>
  </si>
  <si>
    <t>Тифенгрунт</t>
  </si>
  <si>
    <t>толщина слоя</t>
  </si>
  <si>
    <t>Смеси для полов</t>
  </si>
  <si>
    <t>Юнис Горизонт</t>
  </si>
  <si>
    <t>Юнис Горизонт - 2</t>
  </si>
  <si>
    <t>Юнис Горизонт Универсальный</t>
  </si>
  <si>
    <t>Убо</t>
  </si>
  <si>
    <t>М 300</t>
  </si>
  <si>
    <t>М 150 универсальная</t>
  </si>
  <si>
    <t>Расчет подвесных потолков ''Армстронг''</t>
  </si>
  <si>
    <t xml:space="preserve">Площадь </t>
  </si>
  <si>
    <t>м.кв</t>
  </si>
  <si>
    <t xml:space="preserve">Панель </t>
  </si>
  <si>
    <t>шт.</t>
  </si>
  <si>
    <t>пог.м</t>
  </si>
  <si>
    <t>Подвес(АП-1)</t>
  </si>
  <si>
    <t>Профиль перим.</t>
  </si>
  <si>
    <t>Профиль несущ. 3,7</t>
  </si>
  <si>
    <t>Профиль попер. 1,2</t>
  </si>
  <si>
    <t>Профиль попер. 0,6</t>
  </si>
  <si>
    <t>Количество светильников  4*18</t>
  </si>
  <si>
    <t>Количество светильников  точечных</t>
  </si>
  <si>
    <t>Расчет подвесных потолков ''Экофон'' (скрытая подвесная-D,Ds,Dg)</t>
  </si>
  <si>
    <t>Главная направляющая HD T24 Connect, цвет черный, монтаж с шагом 600 мм</t>
  </si>
  <si>
    <t>Профиль Connect Space bar 0520, монтаж с шагом 1500 мм (макс. расстояние от стены - 300 мм)
1,2</t>
  </si>
  <si>
    <t>Фиксирующая пружина Connect 0523, одна на соединение главной направляющей и профиля Space bar
0,6</t>
  </si>
  <si>
    <t>Регулируемый подвес Connect, монтаж с шагом 1200 мм (макс. расстояние от стены 600 мм)</t>
  </si>
  <si>
    <t>Клипса для подвеса Connect</t>
  </si>
  <si>
    <t>Пристенный кронштейн Т-профиля Connect 0524</t>
  </si>
  <si>
    <t>Пристенный кронштейн Space bar Connect 0525</t>
  </si>
  <si>
    <t>Фиксирующая клипса Connect</t>
  </si>
  <si>
    <t>Площадь</t>
  </si>
  <si>
    <t>в шт.</t>
  </si>
  <si>
    <t>мама</t>
  </si>
  <si>
    <t>папа</t>
  </si>
  <si>
    <t>вставка</t>
  </si>
  <si>
    <t>подвес</t>
  </si>
  <si>
    <t>30*30</t>
  </si>
  <si>
    <t>50*50</t>
  </si>
  <si>
    <t>60*60</t>
  </si>
  <si>
    <t>75*75</t>
  </si>
  <si>
    <t>86*86</t>
  </si>
  <si>
    <t>100*100</t>
  </si>
  <si>
    <t>120*120</t>
  </si>
  <si>
    <t>150*150</t>
  </si>
  <si>
    <t>200*200</t>
  </si>
  <si>
    <t>Расчет подвесных потолков ''КНАУФ''</t>
  </si>
  <si>
    <t>Расход</t>
  </si>
  <si>
    <t>Наименование</t>
  </si>
  <si>
    <t>ед.изм</t>
  </si>
  <si>
    <t>П113</t>
  </si>
  <si>
    <t>П112</t>
  </si>
  <si>
    <t>Гипс</t>
  </si>
  <si>
    <t>кв.м</t>
  </si>
  <si>
    <t>ПП</t>
  </si>
  <si>
    <t>ПН</t>
  </si>
  <si>
    <t>Удлинитель профилей</t>
  </si>
  <si>
    <t>шт</t>
  </si>
  <si>
    <t>Соеденитель одноуровневый</t>
  </si>
  <si>
    <t>Подвес прямой</t>
  </si>
  <si>
    <t>Шуруп LN9</t>
  </si>
  <si>
    <t>или взамен</t>
  </si>
  <si>
    <t>Подвес с зажимом 60/27</t>
  </si>
  <si>
    <t>Тяго подвеса</t>
  </si>
  <si>
    <t>Шуруп TN25</t>
  </si>
  <si>
    <t>Анкер</t>
  </si>
  <si>
    <t>Дюбель 6/35</t>
  </si>
  <si>
    <t>**</t>
  </si>
  <si>
    <t>Серпянка</t>
  </si>
  <si>
    <t>Фугенфюлер</t>
  </si>
  <si>
    <t>кг</t>
  </si>
  <si>
    <t>Тифенгрунд</t>
  </si>
  <si>
    <t>П112 - одноуровневый</t>
  </si>
  <si>
    <t>П113 - двухуровневый</t>
  </si>
  <si>
    <t>* профиль соответствует периметру помещения</t>
  </si>
  <si>
    <t>** 2 дюбеля на 1 п.м профиля ПН 28/27</t>
  </si>
  <si>
    <t>Нмименование</t>
  </si>
  <si>
    <t>С1111</t>
  </si>
  <si>
    <t>С112</t>
  </si>
  <si>
    <t>С113</t>
  </si>
  <si>
    <t>С115</t>
  </si>
  <si>
    <t>С116</t>
  </si>
  <si>
    <t>гипс</t>
  </si>
  <si>
    <t>ПС</t>
  </si>
  <si>
    <t>Шуруп TN35</t>
  </si>
  <si>
    <t>Шуруп TN55</t>
  </si>
  <si>
    <t>Анкерный элемент</t>
  </si>
  <si>
    <t>Лента уплотнительная</t>
  </si>
  <si>
    <t>Утеплитель</t>
  </si>
  <si>
    <t>ПУ</t>
  </si>
  <si>
    <t>** по потребности заказчика</t>
  </si>
  <si>
    <t>С111 Одинарный каркас, обшивка из Кнауф-листов в один слой</t>
  </si>
  <si>
    <t>С112 Одинарный каркас, обшивка из Кнауф-листов в два слоя</t>
  </si>
  <si>
    <t>С113 Одинарный каркас, обшивка из Кнауф-листов в три слоя</t>
  </si>
  <si>
    <t>С115 Двойной каркас, обшивка из Кнауф-листов в два слоя</t>
  </si>
  <si>
    <t>С116 Двойной каркас, обшивка из Кнауф-листов в два слоя</t>
  </si>
  <si>
    <t>С625</t>
  </si>
  <si>
    <t>С626</t>
  </si>
  <si>
    <t>С625 Одинарный каркас, обшивка из Кнауф-листов в один слой</t>
  </si>
  <si>
    <t>С626 Одинарный каркас, обшивка из Кнауф-листов в два слоя</t>
  </si>
  <si>
    <t>товар отпускается кратно штукам или упаковкам, согласовывается с менеджерами</t>
  </si>
  <si>
    <t>Краски</t>
  </si>
  <si>
    <t>Смеси</t>
  </si>
  <si>
    <t>Потолки</t>
  </si>
  <si>
    <t>Клеи</t>
  </si>
  <si>
    <t>Рачет потребности в материалах</t>
  </si>
  <si>
    <t>Расчет перегородки</t>
  </si>
  <si>
    <t>Расчет облицовки</t>
  </si>
  <si>
    <t>Расчет потолка "ГРИЛЬЯТТО"</t>
  </si>
  <si>
    <t>Нaименование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</si>
</sst>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double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9"/>
      </left>
      <right>
        <color indexed="63"/>
      </right>
      <top style="thin">
        <color indexed="9"/>
      </top>
      <bottom style="double"/>
    </border>
    <border>
      <left>
        <color indexed="63"/>
      </left>
      <right>
        <color indexed="63"/>
      </right>
      <top style="thin">
        <color indexed="9"/>
      </top>
      <bottom style="double"/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right" wrapText="1"/>
    </xf>
    <xf numFmtId="0" fontId="23" fillId="4" borderId="11" xfId="0" applyFont="1" applyFill="1" applyBorder="1" applyAlignment="1">
      <alignment/>
    </xf>
    <xf numFmtId="1" fontId="23" fillId="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172" fontId="23" fillId="0" borderId="14" xfId="0" applyNumberFormat="1" applyFont="1" applyFill="1" applyBorder="1" applyAlignment="1">
      <alignment/>
    </xf>
    <xf numFmtId="2" fontId="23" fillId="0" borderId="14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22" borderId="14" xfId="0" applyFont="1" applyFill="1" applyBorder="1" applyAlignment="1">
      <alignment/>
    </xf>
    <xf numFmtId="0" fontId="21" fillId="22" borderId="15" xfId="0" applyFont="1" applyFill="1" applyBorder="1" applyAlignment="1">
      <alignment/>
    </xf>
    <xf numFmtId="0" fontId="23" fillId="22" borderId="14" xfId="0" applyFont="1" applyFill="1" applyBorder="1" applyAlignment="1">
      <alignment/>
    </xf>
    <xf numFmtId="0" fontId="23" fillId="22" borderId="15" xfId="0" applyFont="1" applyFill="1" applyBorder="1" applyAlignment="1">
      <alignment/>
    </xf>
    <xf numFmtId="0" fontId="23" fillId="0" borderId="14" xfId="0" applyFont="1" applyFill="1" applyBorder="1" applyAlignment="1">
      <alignment horizontal="right"/>
    </xf>
    <xf numFmtId="0" fontId="25" fillId="0" borderId="14" xfId="0" applyFont="1" applyFill="1" applyBorder="1" applyAlignment="1">
      <alignment wrapText="1"/>
    </xf>
    <xf numFmtId="0" fontId="25" fillId="22" borderId="14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25" fillId="22" borderId="15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0" fontId="27" fillId="0" borderId="10" xfId="42" applyBorder="1" applyAlignment="1">
      <alignment/>
    </xf>
    <xf numFmtId="0" fontId="27" fillId="0" borderId="10" xfId="42" applyBorder="1" applyAlignment="1">
      <alignment horizontal="left" indent="1"/>
    </xf>
    <xf numFmtId="0" fontId="17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workbookViewId="0" topLeftCell="A1">
      <selection activeCell="B2" sqref="B2:F2"/>
    </sheetView>
  </sheetViews>
  <sheetFormatPr defaultColWidth="9.140625" defaultRowHeight="15"/>
  <cols>
    <col min="1" max="1" width="9.140625" style="1" customWidth="1"/>
    <col min="2" max="2" width="81.57421875" style="1" customWidth="1"/>
    <col min="3" max="16384" width="9.140625" style="1" customWidth="1"/>
  </cols>
  <sheetData>
    <row r="2" spans="2:6" ht="18">
      <c r="B2" s="34" t="s">
        <v>184</v>
      </c>
      <c r="C2" s="34"/>
      <c r="D2" s="34"/>
      <c r="E2" s="34"/>
      <c r="F2" s="34"/>
    </row>
    <row r="4" ht="14.25">
      <c r="B4" s="32" t="s">
        <v>180</v>
      </c>
    </row>
    <row r="5" ht="14.25">
      <c r="B5" s="33" t="s">
        <v>3</v>
      </c>
    </row>
    <row r="6" ht="14.25">
      <c r="B6" s="33" t="s">
        <v>26</v>
      </c>
    </row>
    <row r="7" ht="14.25">
      <c r="B7" s="33" t="s">
        <v>14</v>
      </c>
    </row>
    <row r="8" ht="14.25">
      <c r="B8" s="33" t="s">
        <v>19</v>
      </c>
    </row>
    <row r="9" ht="14.25">
      <c r="B9" s="33" t="s">
        <v>23</v>
      </c>
    </row>
    <row r="10" ht="14.25">
      <c r="B10" s="32" t="s">
        <v>181</v>
      </c>
    </row>
    <row r="11" ht="14.25">
      <c r="B11" s="33" t="s">
        <v>183</v>
      </c>
    </row>
    <row r="12" ht="14.25">
      <c r="B12" s="33" t="s">
        <v>48</v>
      </c>
    </row>
    <row r="13" ht="14.25">
      <c r="B13" s="33" t="s">
        <v>59</v>
      </c>
    </row>
    <row r="14" ht="14.25">
      <c r="B14" s="33" t="s">
        <v>73</v>
      </c>
    </row>
    <row r="15" ht="14.25">
      <c r="B15" s="33" t="s">
        <v>81</v>
      </c>
    </row>
    <row r="16" ht="14.25">
      <c r="B16" s="32" t="s">
        <v>131</v>
      </c>
    </row>
    <row r="17" ht="14.25">
      <c r="B17" s="33" t="s">
        <v>125</v>
      </c>
    </row>
    <row r="18" ht="14.25">
      <c r="B18" s="33" t="s">
        <v>185</v>
      </c>
    </row>
    <row r="19" ht="14.25">
      <c r="B19" s="33" t="s">
        <v>186</v>
      </c>
    </row>
    <row r="20" ht="14.25">
      <c r="B20" s="32" t="s">
        <v>182</v>
      </c>
    </row>
    <row r="21" ht="14.25">
      <c r="B21" s="33" t="s">
        <v>88</v>
      </c>
    </row>
    <row r="22" ht="14.25">
      <c r="B22" s="33" t="s">
        <v>101</v>
      </c>
    </row>
    <row r="23" ht="14.25">
      <c r="B23" s="33" t="s">
        <v>187</v>
      </c>
    </row>
  </sheetData>
  <mergeCells count="1">
    <mergeCell ref="B2:F2"/>
  </mergeCells>
  <hyperlinks>
    <hyperlink ref="B4" location="Краски!A1" display="Краски"/>
    <hyperlink ref="B16" location="Гипс!A1" display="Гипс"/>
    <hyperlink ref="B20" location="Потолки!A1" display="Потолки"/>
    <hyperlink ref="B5" location="Краски!B2" display="Эмали"/>
    <hyperlink ref="B10" location="Смеси!A1" display="Смеси"/>
    <hyperlink ref="B6" location="Краски!B14" display="Масляные краски"/>
    <hyperlink ref="B7" location="Краски!B20" display="Водные краски"/>
    <hyperlink ref="B8" location="Краски!B34" display="Антисептики"/>
    <hyperlink ref="B9" location="Краски!B42" display="Лаки"/>
    <hyperlink ref="B11" location="Смеси!B2" display="Клеи"/>
    <hyperlink ref="B12" location="Смеси!B16" display="Штукатурки"/>
    <hyperlink ref="B13" location="Смеси!B30" display="Шпаклевки"/>
    <hyperlink ref="B14" location="Смеси!B47" display="Грунтовки"/>
    <hyperlink ref="B15" location="Смеси!B57" display="Смеси для полов"/>
    <hyperlink ref="B17" location="Гипс!B2" display="Расчет подвесных потолков ''КНАУФ''"/>
    <hyperlink ref="B18" location="Гипс!B24" display="Расчет перегородки"/>
    <hyperlink ref="B19" location="Гипс!B44" display="Расчет облицовки"/>
    <hyperlink ref="B21" location="Потолки!B2" display="Расчет подвесных потолков ''Армстронг''"/>
    <hyperlink ref="B22" location="Потолки!B14" display="Расчет подвесных потолков ''Экофон'' (скрытая подвесная-D,Ds,Dg)"/>
    <hyperlink ref="B23" location="Гипс!B27" display="Расчет потолка &quot;ГРИЛЬЯТТО&quot;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66.7109375" style="1" customWidth="1"/>
    <col min="3" max="3" width="7.421875" style="1" customWidth="1"/>
    <col min="4" max="4" width="16.421875" style="1" customWidth="1"/>
    <col min="5" max="5" width="6.421875" style="1" customWidth="1"/>
    <col min="6" max="6" width="8.57421875" style="1" customWidth="1"/>
    <col min="7" max="16384" width="16.7109375" style="1" customWidth="1"/>
  </cols>
  <sheetData>
    <row r="2" spans="2:6" ht="18" thickBot="1">
      <c r="B2" s="34" t="s">
        <v>3</v>
      </c>
      <c r="C2" s="34"/>
      <c r="D2" s="34"/>
      <c r="E2" s="34"/>
      <c r="F2" s="34"/>
    </row>
    <row r="3" spans="2:6" ht="15" thickBot="1" thickTop="1">
      <c r="B3" s="7" t="s">
        <v>0</v>
      </c>
      <c r="C3" s="8">
        <v>1</v>
      </c>
      <c r="D3" s="2" t="s">
        <v>1</v>
      </c>
      <c r="E3" s="9">
        <v>1</v>
      </c>
      <c r="F3" s="10"/>
    </row>
    <row r="4" spans="2:6" ht="15" thickTop="1">
      <c r="B4" s="28" t="s">
        <v>4</v>
      </c>
      <c r="C4" s="11">
        <f>C3*E3*0.1</f>
        <v>0.1</v>
      </c>
      <c r="D4" s="4" t="s">
        <v>5</v>
      </c>
      <c r="E4" s="12"/>
      <c r="F4" s="4"/>
    </row>
    <row r="5" spans="2:6" ht="14.25">
      <c r="B5" s="26" t="s">
        <v>6</v>
      </c>
      <c r="C5" s="14">
        <f>C3*E3*0.09</f>
        <v>0.09</v>
      </c>
      <c r="D5" s="5" t="s">
        <v>5</v>
      </c>
      <c r="E5" s="15"/>
      <c r="F5" s="5"/>
    </row>
    <row r="6" spans="2:6" ht="14.25">
      <c r="B6" s="26" t="s">
        <v>7</v>
      </c>
      <c r="C6" s="14">
        <f>C3*E3*0.1</f>
        <v>0.1</v>
      </c>
      <c r="D6" s="5" t="s">
        <v>5</v>
      </c>
      <c r="E6" s="16"/>
      <c r="F6" s="5"/>
    </row>
    <row r="7" spans="2:6" ht="14.25">
      <c r="B7" s="29" t="s">
        <v>8</v>
      </c>
      <c r="C7" s="14">
        <f>C3*E3*0.09</f>
        <v>0.09</v>
      </c>
      <c r="D7" s="5" t="s">
        <v>2</v>
      </c>
      <c r="E7" s="16"/>
      <c r="F7" s="5"/>
    </row>
    <row r="8" spans="2:6" ht="14.25">
      <c r="B8" s="26" t="s">
        <v>9</v>
      </c>
      <c r="C8" s="14">
        <f>C3*E3*0.13</f>
        <v>0.13</v>
      </c>
      <c r="D8" s="5" t="s">
        <v>5</v>
      </c>
      <c r="E8" s="6"/>
      <c r="F8" s="5"/>
    </row>
    <row r="9" spans="2:6" ht="14.25">
      <c r="B9" s="26" t="s">
        <v>10</v>
      </c>
      <c r="C9" s="14">
        <f>C3*E3*0.12</f>
        <v>0.12</v>
      </c>
      <c r="D9" s="5" t="s">
        <v>5</v>
      </c>
      <c r="E9" s="16"/>
      <c r="F9" s="5"/>
    </row>
    <row r="10" spans="2:6" ht="14.25">
      <c r="B10" s="26" t="s">
        <v>11</v>
      </c>
      <c r="C10" s="14">
        <f>C3*E3*0.14</f>
        <v>0.14</v>
      </c>
      <c r="D10" s="5" t="s">
        <v>5</v>
      </c>
      <c r="E10" s="16"/>
      <c r="F10" s="5"/>
    </row>
    <row r="11" spans="2:6" ht="14.25">
      <c r="B11" s="26" t="s">
        <v>12</v>
      </c>
      <c r="C11" s="14">
        <f>C3*E3*0.12</f>
        <v>0.12</v>
      </c>
      <c r="D11" s="5" t="s">
        <v>5</v>
      </c>
      <c r="E11" s="15"/>
      <c r="F11" s="5"/>
    </row>
    <row r="14" spans="2:6" ht="18" thickBot="1">
      <c r="B14" s="34" t="s">
        <v>26</v>
      </c>
      <c r="C14" s="34"/>
      <c r="D14" s="34"/>
      <c r="E14" s="34"/>
      <c r="F14" s="34"/>
    </row>
    <row r="15" spans="2:6" ht="15" thickBot="1" thickTop="1">
      <c r="B15" s="7" t="s">
        <v>0</v>
      </c>
      <c r="C15" s="8">
        <v>1</v>
      </c>
      <c r="D15" s="2" t="s">
        <v>1</v>
      </c>
      <c r="E15" s="9">
        <v>1</v>
      </c>
      <c r="F15" s="10"/>
    </row>
    <row r="16" spans="2:6" ht="15" thickTop="1">
      <c r="B16" s="26" t="s">
        <v>25</v>
      </c>
      <c r="C16" s="14">
        <f>C15*E15*0.15</f>
        <v>0.15</v>
      </c>
      <c r="D16" s="5" t="s">
        <v>5</v>
      </c>
      <c r="E16" s="6"/>
      <c r="F16" s="5"/>
    </row>
    <row r="17" spans="2:6" ht="14.25">
      <c r="B17" s="26" t="s">
        <v>13</v>
      </c>
      <c r="C17" s="14">
        <f>C15*E15*0.15</f>
        <v>0.15</v>
      </c>
      <c r="D17" s="5" t="s">
        <v>5</v>
      </c>
      <c r="E17" s="6"/>
      <c r="F17" s="5"/>
    </row>
    <row r="20" spans="2:6" ht="18" thickBot="1">
      <c r="B20" s="34" t="s">
        <v>14</v>
      </c>
      <c r="C20" s="34"/>
      <c r="D20" s="34"/>
      <c r="E20" s="34"/>
      <c r="F20" s="34"/>
    </row>
    <row r="21" spans="2:6" ht="15" thickBot="1" thickTop="1">
      <c r="B21" s="7" t="s">
        <v>0</v>
      </c>
      <c r="C21" s="8">
        <v>1</v>
      </c>
      <c r="D21" s="2" t="s">
        <v>1</v>
      </c>
      <c r="E21" s="9">
        <v>1</v>
      </c>
      <c r="F21" s="10"/>
    </row>
    <row r="22" spans="2:6" ht="15" thickTop="1">
      <c r="B22" s="26" t="s">
        <v>27</v>
      </c>
      <c r="C22" s="14">
        <f>C21*E21*0.15</f>
        <v>0.15</v>
      </c>
      <c r="D22" s="5" t="s">
        <v>2</v>
      </c>
      <c r="E22" s="16"/>
      <c r="F22" s="5"/>
    </row>
    <row r="23" spans="2:6" ht="14.25">
      <c r="B23" s="26" t="s">
        <v>28</v>
      </c>
      <c r="C23" s="14">
        <f>C21*E21*0.15</f>
        <v>0.15</v>
      </c>
      <c r="D23" s="5" t="s">
        <v>2</v>
      </c>
      <c r="E23" s="16"/>
      <c r="F23" s="5"/>
    </row>
    <row r="24" spans="2:6" ht="14.25">
      <c r="B24" s="26" t="s">
        <v>29</v>
      </c>
      <c r="C24" s="14">
        <f>C21*E21*0.18</f>
        <v>0.18</v>
      </c>
      <c r="D24" s="5" t="s">
        <v>2</v>
      </c>
      <c r="E24" s="16"/>
      <c r="F24" s="5"/>
    </row>
    <row r="25" spans="2:6" ht="14.25">
      <c r="B25" s="26" t="s">
        <v>30</v>
      </c>
      <c r="C25" s="14">
        <f>C21*E21*0.19</f>
        <v>0.19</v>
      </c>
      <c r="D25" s="5" t="s">
        <v>2</v>
      </c>
      <c r="E25" s="16"/>
      <c r="F25" s="5"/>
    </row>
    <row r="26" spans="2:6" ht="14.25">
      <c r="B26" s="26" t="s">
        <v>31</v>
      </c>
      <c r="C26" s="14">
        <f>C21*E21*0.17</f>
        <v>0.17</v>
      </c>
      <c r="D26" s="5" t="s">
        <v>5</v>
      </c>
      <c r="E26" s="16"/>
      <c r="F26" s="5"/>
    </row>
    <row r="27" spans="2:6" ht="14.25">
      <c r="B27" s="26" t="s">
        <v>15</v>
      </c>
      <c r="C27" s="14">
        <f>C21*E21*0.16</f>
        <v>0.16</v>
      </c>
      <c r="D27" s="5" t="s">
        <v>5</v>
      </c>
      <c r="E27" s="16"/>
      <c r="F27" s="5"/>
    </row>
    <row r="28" spans="2:6" ht="14.25">
      <c r="B28" s="26" t="s">
        <v>16</v>
      </c>
      <c r="C28" s="14">
        <f>C21*E21*0.17</f>
        <v>0.17</v>
      </c>
      <c r="D28" s="5" t="s">
        <v>5</v>
      </c>
      <c r="E28" s="16"/>
      <c r="F28" s="5"/>
    </row>
    <row r="29" spans="2:6" ht="14.25">
      <c r="B29" s="26" t="s">
        <v>32</v>
      </c>
      <c r="C29" s="14">
        <f>C21*E21*0.11</f>
        <v>0.11</v>
      </c>
      <c r="D29" s="5" t="s">
        <v>5</v>
      </c>
      <c r="E29" s="16"/>
      <c r="F29" s="5"/>
    </row>
    <row r="30" spans="2:6" ht="14.25">
      <c r="B30" s="26" t="s">
        <v>17</v>
      </c>
      <c r="C30" s="14">
        <f>C21*E21*0.16</f>
        <v>0.16</v>
      </c>
      <c r="D30" s="5" t="s">
        <v>5</v>
      </c>
      <c r="E30" s="16"/>
      <c r="F30" s="5"/>
    </row>
    <row r="31" spans="2:6" ht="14.25">
      <c r="B31" s="26" t="s">
        <v>18</v>
      </c>
      <c r="C31" s="14">
        <f>C21*E21*0.175</f>
        <v>0.175</v>
      </c>
      <c r="D31" s="5" t="s">
        <v>5</v>
      </c>
      <c r="E31" s="16"/>
      <c r="F31" s="5"/>
    </row>
    <row r="34" spans="2:6" ht="18" thickBot="1">
      <c r="B34" s="34" t="s">
        <v>19</v>
      </c>
      <c r="C34" s="34"/>
      <c r="D34" s="34"/>
      <c r="E34" s="34"/>
      <c r="F34" s="34"/>
    </row>
    <row r="35" spans="2:6" ht="15" thickBot="1" thickTop="1">
      <c r="B35" s="7" t="s">
        <v>0</v>
      </c>
      <c r="C35" s="8">
        <v>1</v>
      </c>
      <c r="D35" s="2" t="s">
        <v>1</v>
      </c>
      <c r="E35" s="9">
        <v>1</v>
      </c>
      <c r="F35" s="10"/>
    </row>
    <row r="36" spans="2:6" ht="15" thickTop="1">
      <c r="B36" s="26" t="s">
        <v>20</v>
      </c>
      <c r="C36" s="14">
        <f>C35*E35*0.15</f>
        <v>0.15</v>
      </c>
      <c r="D36" s="5" t="s">
        <v>5</v>
      </c>
      <c r="E36" s="16"/>
      <c r="F36" s="5"/>
    </row>
    <row r="37" spans="2:6" ht="14.25">
      <c r="B37" s="26" t="s">
        <v>21</v>
      </c>
      <c r="C37" s="14">
        <f>C35*E35*0.1</f>
        <v>0.1</v>
      </c>
      <c r="D37" s="5" t="s">
        <v>5</v>
      </c>
      <c r="E37" s="16"/>
      <c r="F37" s="5"/>
    </row>
    <row r="38" spans="2:6" ht="14.25">
      <c r="B38" s="26" t="s">
        <v>22</v>
      </c>
      <c r="C38" s="14">
        <f>C35*E35*0.1</f>
        <v>0.1</v>
      </c>
      <c r="D38" s="5" t="s">
        <v>5</v>
      </c>
      <c r="E38" s="16"/>
      <c r="F38" s="5"/>
    </row>
    <row r="39" spans="2:6" ht="14.25">
      <c r="B39" s="26" t="s">
        <v>33</v>
      </c>
      <c r="C39" s="14">
        <f>C35*E35*0.1</f>
        <v>0.1</v>
      </c>
      <c r="D39" s="5" t="s">
        <v>5</v>
      </c>
      <c r="E39" s="16"/>
      <c r="F39" s="5"/>
    </row>
    <row r="42" spans="2:6" ht="18" thickBot="1">
      <c r="B42" s="34" t="s">
        <v>23</v>
      </c>
      <c r="C42" s="34"/>
      <c r="D42" s="34"/>
      <c r="E42" s="34"/>
      <c r="F42" s="34"/>
    </row>
    <row r="43" spans="2:6" ht="15" thickBot="1" thickTop="1">
      <c r="B43" s="7" t="s">
        <v>0</v>
      </c>
      <c r="C43" s="8">
        <v>1</v>
      </c>
      <c r="D43" s="2" t="s">
        <v>1</v>
      </c>
      <c r="E43" s="9">
        <v>1</v>
      </c>
      <c r="F43" s="10"/>
    </row>
    <row r="44" spans="2:6" ht="15" thickTop="1">
      <c r="B44" s="26" t="s">
        <v>34</v>
      </c>
      <c r="C44" s="14">
        <f>C43*E43*0.07</f>
        <v>0.07</v>
      </c>
      <c r="D44" s="5" t="s">
        <v>2</v>
      </c>
      <c r="E44" s="16"/>
      <c r="F44" s="5"/>
    </row>
    <row r="45" spans="2:6" ht="14.25">
      <c r="B45" s="26" t="s">
        <v>24</v>
      </c>
      <c r="C45" s="14">
        <f>C43*E43*0.9</f>
        <v>0.9</v>
      </c>
      <c r="D45" s="5" t="s">
        <v>5</v>
      </c>
      <c r="E45" s="16"/>
      <c r="F45" s="5"/>
    </row>
    <row r="46" spans="2:6" ht="14.25">
      <c r="B46" s="26" t="s">
        <v>22</v>
      </c>
      <c r="C46" s="14">
        <f>C43*E43*0.1</f>
        <v>0.1</v>
      </c>
      <c r="D46" s="5" t="s">
        <v>5</v>
      </c>
      <c r="E46" s="16"/>
      <c r="F46" s="5"/>
    </row>
    <row r="47" spans="2:6" ht="14.25">
      <c r="B47" s="26" t="s">
        <v>33</v>
      </c>
      <c r="C47" s="14">
        <f>C43*E43*0.1</f>
        <v>0.1</v>
      </c>
      <c r="D47" s="5" t="s">
        <v>5</v>
      </c>
      <c r="E47" s="16"/>
      <c r="F47" s="5"/>
    </row>
  </sheetData>
  <sheetProtection/>
  <mergeCells count="5">
    <mergeCell ref="B42:F42"/>
    <mergeCell ref="B2:F2"/>
    <mergeCell ref="B14:F14"/>
    <mergeCell ref="B20:F20"/>
    <mergeCell ref="B34:F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34.00390625" style="1" bestFit="1" customWidth="1"/>
    <col min="3" max="3" width="6.7109375" style="1" customWidth="1"/>
    <col min="4" max="4" width="21.140625" style="1" customWidth="1"/>
    <col min="5" max="5" width="6.57421875" style="1" bestFit="1" customWidth="1"/>
    <col min="6" max="6" width="5.00390625" style="1" customWidth="1"/>
    <col min="7" max="16384" width="16.7109375" style="1" customWidth="1"/>
  </cols>
  <sheetData>
    <row r="2" spans="2:6" ht="18" thickBot="1">
      <c r="B2" s="34" t="s">
        <v>47</v>
      </c>
      <c r="C2" s="34"/>
      <c r="D2" s="34"/>
      <c r="E2" s="34"/>
      <c r="F2" s="34"/>
    </row>
    <row r="3" spans="2:6" ht="15" thickBot="1" thickTop="1">
      <c r="B3" s="7" t="s">
        <v>0</v>
      </c>
      <c r="C3" s="8">
        <v>1</v>
      </c>
      <c r="D3" s="17" t="s">
        <v>35</v>
      </c>
      <c r="E3" s="9">
        <v>1</v>
      </c>
      <c r="F3" s="18"/>
    </row>
    <row r="4" spans="2:6" ht="15" thickTop="1">
      <c r="B4" s="26" t="s">
        <v>36</v>
      </c>
      <c r="C4" s="14">
        <f>C3*E3*3.5</f>
        <v>3.5</v>
      </c>
      <c r="D4" s="5" t="s">
        <v>5</v>
      </c>
      <c r="E4" s="6">
        <f aca="true" t="shared" si="0" ref="E4:E12">C4/25</f>
        <v>0.14</v>
      </c>
      <c r="F4" s="5" t="s">
        <v>37</v>
      </c>
    </row>
    <row r="5" spans="2:6" ht="14.25">
      <c r="B5" s="26" t="s">
        <v>38</v>
      </c>
      <c r="C5" s="14">
        <f>C3*E3*3.5</f>
        <v>3.5</v>
      </c>
      <c r="D5" s="5" t="s">
        <v>5</v>
      </c>
      <c r="E5" s="6">
        <f t="shared" si="0"/>
        <v>0.14</v>
      </c>
      <c r="F5" s="5" t="s">
        <v>37</v>
      </c>
    </row>
    <row r="6" spans="2:6" ht="14.25">
      <c r="B6" s="26" t="s">
        <v>39</v>
      </c>
      <c r="C6" s="14">
        <f>C3*E3*3.5</f>
        <v>3.5</v>
      </c>
      <c r="D6" s="5" t="s">
        <v>5</v>
      </c>
      <c r="E6" s="6">
        <f t="shared" si="0"/>
        <v>0.14</v>
      </c>
      <c r="F6" s="5" t="s">
        <v>37</v>
      </c>
    </row>
    <row r="7" spans="2:6" ht="14.25">
      <c r="B7" s="26" t="s">
        <v>40</v>
      </c>
      <c r="C7" s="14">
        <f>C3*E3*3.1</f>
        <v>3.1</v>
      </c>
      <c r="D7" s="5" t="s">
        <v>5</v>
      </c>
      <c r="E7" s="6">
        <f t="shared" si="0"/>
        <v>0.124</v>
      </c>
      <c r="F7" s="5" t="s">
        <v>37</v>
      </c>
    </row>
    <row r="8" spans="2:6" ht="14.25">
      <c r="B8" s="26" t="s">
        <v>41</v>
      </c>
      <c r="C8" s="14">
        <f>C3*E3*3.1</f>
        <v>3.1</v>
      </c>
      <c r="D8" s="5" t="s">
        <v>5</v>
      </c>
      <c r="E8" s="6">
        <f t="shared" si="0"/>
        <v>0.124</v>
      </c>
      <c r="F8" s="5" t="s">
        <v>37</v>
      </c>
    </row>
    <row r="9" spans="2:6" ht="14.25">
      <c r="B9" s="26" t="s">
        <v>42</v>
      </c>
      <c r="C9" s="14">
        <f>C3*E3*3.5</f>
        <v>3.5</v>
      </c>
      <c r="D9" s="5" t="s">
        <v>5</v>
      </c>
      <c r="E9" s="6">
        <f t="shared" si="0"/>
        <v>0.14</v>
      </c>
      <c r="F9" s="5" t="s">
        <v>37</v>
      </c>
    </row>
    <row r="10" spans="2:6" ht="14.25">
      <c r="B10" s="26" t="s">
        <v>43</v>
      </c>
      <c r="C10" s="14">
        <f>C3*3.5*E3</f>
        <v>3.5</v>
      </c>
      <c r="D10" s="5" t="s">
        <v>5</v>
      </c>
      <c r="E10" s="6">
        <f t="shared" si="0"/>
        <v>0.14</v>
      </c>
      <c r="F10" s="5" t="s">
        <v>37</v>
      </c>
    </row>
    <row r="11" spans="2:6" ht="14.25">
      <c r="B11" s="26" t="s">
        <v>44</v>
      </c>
      <c r="C11" s="14">
        <f>C3*E3*2.2</f>
        <v>2.2</v>
      </c>
      <c r="D11" s="5" t="s">
        <v>5</v>
      </c>
      <c r="E11" s="6">
        <f t="shared" si="0"/>
        <v>0.08800000000000001</v>
      </c>
      <c r="F11" s="5" t="s">
        <v>37</v>
      </c>
    </row>
    <row r="12" spans="2:6" ht="14.25">
      <c r="B12" s="26" t="s">
        <v>45</v>
      </c>
      <c r="C12" s="14">
        <f>C3*E3*3.5</f>
        <v>3.5</v>
      </c>
      <c r="D12" s="5" t="s">
        <v>5</v>
      </c>
      <c r="E12" s="6">
        <f t="shared" si="0"/>
        <v>0.14</v>
      </c>
      <c r="F12" s="5" t="s">
        <v>37</v>
      </c>
    </row>
    <row r="13" spans="2:6" ht="14.25">
      <c r="B13" s="26" t="s">
        <v>46</v>
      </c>
      <c r="C13" s="14">
        <f>C3*E3*4.2</f>
        <v>4.2</v>
      </c>
      <c r="D13" s="5" t="s">
        <v>5</v>
      </c>
      <c r="E13" s="6">
        <f>C13/30</f>
        <v>0.14</v>
      </c>
      <c r="F13" s="5" t="s">
        <v>37</v>
      </c>
    </row>
    <row r="16" spans="2:6" ht="18" thickBot="1">
      <c r="B16" s="34" t="s">
        <v>48</v>
      </c>
      <c r="C16" s="34"/>
      <c r="D16" s="34"/>
      <c r="E16" s="34"/>
      <c r="F16" s="34"/>
    </row>
    <row r="17" spans="2:6" ht="15" thickBot="1" thickTop="1">
      <c r="B17" s="7" t="s">
        <v>0</v>
      </c>
      <c r="C17" s="8">
        <v>1</v>
      </c>
      <c r="D17" s="17" t="s">
        <v>35</v>
      </c>
      <c r="E17" s="9">
        <v>10</v>
      </c>
      <c r="F17" s="18"/>
    </row>
    <row r="18" spans="2:6" ht="15" thickTop="1">
      <c r="B18" s="26" t="s">
        <v>49</v>
      </c>
      <c r="C18" s="14">
        <f>C17*E17*8.8/10</f>
        <v>8.8</v>
      </c>
      <c r="D18" s="5" t="s">
        <v>5</v>
      </c>
      <c r="E18" s="6">
        <f>C18/30</f>
        <v>0.29333333333333333</v>
      </c>
      <c r="F18" s="5" t="s">
        <v>37</v>
      </c>
    </row>
    <row r="19" spans="2:6" ht="14.25">
      <c r="B19" s="26" t="s">
        <v>50</v>
      </c>
      <c r="C19" s="14">
        <f>C17*E17*14/10</f>
        <v>14</v>
      </c>
      <c r="D19" s="5" t="s">
        <v>5</v>
      </c>
      <c r="E19" s="6">
        <f>C19/25</f>
        <v>0.56</v>
      </c>
      <c r="F19" s="5" t="s">
        <v>37</v>
      </c>
    </row>
    <row r="20" spans="2:6" ht="14.25">
      <c r="B20" s="26" t="s">
        <v>51</v>
      </c>
      <c r="C20" s="14">
        <f>C17*E17*14/10</f>
        <v>14</v>
      </c>
      <c r="D20" s="5" t="s">
        <v>5</v>
      </c>
      <c r="E20" s="6">
        <f>C20/25</f>
        <v>0.56</v>
      </c>
      <c r="F20" s="5" t="s">
        <v>37</v>
      </c>
    </row>
    <row r="21" spans="2:6" ht="14.25">
      <c r="B21" s="26" t="s">
        <v>52</v>
      </c>
      <c r="C21" s="14">
        <f>C17*E17*14/10</f>
        <v>14</v>
      </c>
      <c r="D21" s="5" t="s">
        <v>5</v>
      </c>
      <c r="E21" s="6">
        <f>C21/25</f>
        <v>0.56</v>
      </c>
      <c r="F21" s="5" t="s">
        <v>37</v>
      </c>
    </row>
    <row r="22" spans="2:6" ht="14.25">
      <c r="B22" s="26" t="s">
        <v>53</v>
      </c>
      <c r="C22" s="14">
        <f>C17*E17*8.5/10</f>
        <v>8.5</v>
      </c>
      <c r="D22" s="5" t="s">
        <v>5</v>
      </c>
      <c r="E22" s="6">
        <f>C22/30</f>
        <v>0.2833333333333333</v>
      </c>
      <c r="F22" s="5" t="s">
        <v>37</v>
      </c>
    </row>
    <row r="23" spans="2:6" ht="14.25">
      <c r="B23" s="26" t="s">
        <v>54</v>
      </c>
      <c r="C23" s="14">
        <f>C17*E17*8.5/10</f>
        <v>8.5</v>
      </c>
      <c r="D23" s="5" t="s">
        <v>5</v>
      </c>
      <c r="E23" s="6">
        <f>C23/30</f>
        <v>0.2833333333333333</v>
      </c>
      <c r="F23" s="5" t="s">
        <v>37</v>
      </c>
    </row>
    <row r="24" spans="2:6" ht="14.25">
      <c r="B24" s="26" t="s">
        <v>55</v>
      </c>
      <c r="C24" s="14">
        <f>C17*E17*10/10</f>
        <v>10</v>
      </c>
      <c r="D24" s="5" t="s">
        <v>5</v>
      </c>
      <c r="E24" s="6">
        <f>C24/30</f>
        <v>0.3333333333333333</v>
      </c>
      <c r="F24" s="5" t="s">
        <v>37</v>
      </c>
    </row>
    <row r="25" spans="2:6" ht="14.25">
      <c r="B25" s="26" t="s">
        <v>56</v>
      </c>
      <c r="C25" s="14">
        <f>C17*E17*16.5/10</f>
        <v>16.5</v>
      </c>
      <c r="D25" s="5" t="s">
        <v>5</v>
      </c>
      <c r="E25" s="6">
        <f>C25/25</f>
        <v>0.66</v>
      </c>
      <c r="F25" s="5" t="s">
        <v>37</v>
      </c>
    </row>
    <row r="26" spans="2:6" ht="14.25">
      <c r="B26" s="26" t="s">
        <v>57</v>
      </c>
      <c r="C26" s="14">
        <f>C17*E17*16.5/10</f>
        <v>16.5</v>
      </c>
      <c r="D26" s="5" t="s">
        <v>5</v>
      </c>
      <c r="E26" s="6">
        <f>C26/25</f>
        <v>0.66</v>
      </c>
      <c r="F26" s="5" t="s">
        <v>37</v>
      </c>
    </row>
    <row r="27" spans="2:6" ht="14.25">
      <c r="B27" s="26" t="s">
        <v>58</v>
      </c>
      <c r="C27" s="14">
        <f>C17*E17*18.3/15</f>
        <v>12.2</v>
      </c>
      <c r="D27" s="5" t="s">
        <v>5</v>
      </c>
      <c r="E27" s="6">
        <f>C27/25</f>
        <v>0.488</v>
      </c>
      <c r="F27" s="5" t="s">
        <v>37</v>
      </c>
    </row>
    <row r="30" spans="2:6" ht="18" thickBot="1">
      <c r="B30" s="34" t="s">
        <v>59</v>
      </c>
      <c r="C30" s="34"/>
      <c r="D30" s="34"/>
      <c r="E30" s="34"/>
      <c r="F30" s="34"/>
    </row>
    <row r="31" spans="2:6" ht="15" thickBot="1" thickTop="1">
      <c r="B31" s="7" t="s">
        <v>0</v>
      </c>
      <c r="C31" s="8">
        <v>1</v>
      </c>
      <c r="D31" s="17" t="s">
        <v>35</v>
      </c>
      <c r="E31" s="9">
        <v>1</v>
      </c>
      <c r="F31" s="18"/>
    </row>
    <row r="32" spans="2:6" ht="15" thickTop="1">
      <c r="B32" s="26" t="s">
        <v>60</v>
      </c>
      <c r="C32" s="14">
        <f>C31*E31*0.9</f>
        <v>0.9</v>
      </c>
      <c r="D32" s="5" t="s">
        <v>5</v>
      </c>
      <c r="E32" s="6">
        <f>C32/25</f>
        <v>0.036000000000000004</v>
      </c>
      <c r="F32" s="5" t="s">
        <v>37</v>
      </c>
    </row>
    <row r="33" spans="2:6" ht="14.25">
      <c r="B33" s="26" t="s">
        <v>61</v>
      </c>
      <c r="C33" s="14">
        <f>C31*E31</f>
        <v>1</v>
      </c>
      <c r="D33" s="5" t="s">
        <v>5</v>
      </c>
      <c r="E33" s="6">
        <f>C33/25</f>
        <v>0.04</v>
      </c>
      <c r="F33" s="5" t="s">
        <v>37</v>
      </c>
    </row>
    <row r="34" spans="2:6" ht="14.25">
      <c r="B34" s="26" t="s">
        <v>62</v>
      </c>
      <c r="C34" s="14">
        <f>C31*E31</f>
        <v>1</v>
      </c>
      <c r="D34" s="5" t="s">
        <v>5</v>
      </c>
      <c r="E34" s="6">
        <f>C34/25</f>
        <v>0.04</v>
      </c>
      <c r="F34" s="5" t="s">
        <v>37</v>
      </c>
    </row>
    <row r="35" spans="2:6" ht="14.25">
      <c r="B35" s="26" t="s">
        <v>63</v>
      </c>
      <c r="C35" s="14">
        <f>C31*E31</f>
        <v>1</v>
      </c>
      <c r="D35" s="5" t="s">
        <v>5</v>
      </c>
      <c r="E35" s="6">
        <f>C35/25</f>
        <v>0.04</v>
      </c>
      <c r="F35" s="5" t="s">
        <v>37</v>
      </c>
    </row>
    <row r="36" spans="2:6" ht="14.25">
      <c r="B36" s="26" t="s">
        <v>64</v>
      </c>
      <c r="C36" s="14">
        <f>C31*E31</f>
        <v>1</v>
      </c>
      <c r="D36" s="5" t="s">
        <v>5</v>
      </c>
      <c r="E36" s="6">
        <f>C36/25</f>
        <v>0.04</v>
      </c>
      <c r="F36" s="5" t="s">
        <v>37</v>
      </c>
    </row>
    <row r="37" spans="2:6" ht="14.25">
      <c r="B37" s="26" t="s">
        <v>65</v>
      </c>
      <c r="C37" s="14">
        <f>C31*E31*1.42</f>
        <v>1.42</v>
      </c>
      <c r="D37" s="5" t="s">
        <v>5</v>
      </c>
      <c r="E37" s="6">
        <f>C37/20</f>
        <v>0.071</v>
      </c>
      <c r="F37" s="5" t="s">
        <v>37</v>
      </c>
    </row>
    <row r="38" spans="2:6" ht="14.25">
      <c r="B38" s="26" t="s">
        <v>66</v>
      </c>
      <c r="C38" s="14">
        <f>C31*E31*1.42</f>
        <v>1.42</v>
      </c>
      <c r="D38" s="5" t="s">
        <v>5</v>
      </c>
      <c r="E38" s="6">
        <f aca="true" t="shared" si="1" ref="E38:E44">C38/25</f>
        <v>0.056799999999999996</v>
      </c>
      <c r="F38" s="5" t="s">
        <v>37</v>
      </c>
    </row>
    <row r="39" spans="2:6" ht="14.25">
      <c r="B39" s="26" t="s">
        <v>67</v>
      </c>
      <c r="C39" s="14">
        <f>C31*E31*1.42</f>
        <v>1.42</v>
      </c>
      <c r="D39" s="5" t="s">
        <v>5</v>
      </c>
      <c r="E39" s="6">
        <f t="shared" si="1"/>
        <v>0.056799999999999996</v>
      </c>
      <c r="F39" s="5" t="s">
        <v>37</v>
      </c>
    </row>
    <row r="40" spans="2:6" ht="14.25">
      <c r="B40" s="26" t="s">
        <v>68</v>
      </c>
      <c r="C40" s="14">
        <f>C31*E31*0.25/10</f>
        <v>0.025</v>
      </c>
      <c r="D40" s="5" t="s">
        <v>5</v>
      </c>
      <c r="E40" s="6">
        <f t="shared" si="1"/>
        <v>0.001</v>
      </c>
      <c r="F40" s="5" t="s">
        <v>37</v>
      </c>
    </row>
    <row r="41" spans="2:6" ht="14.25">
      <c r="B41" s="26" t="s">
        <v>69</v>
      </c>
      <c r="C41" s="14">
        <f>C31*E31*1.2</f>
        <v>1.2</v>
      </c>
      <c r="D41" s="5" t="s">
        <v>5</v>
      </c>
      <c r="E41" s="6">
        <f t="shared" si="1"/>
        <v>0.048</v>
      </c>
      <c r="F41" s="5" t="s">
        <v>37</v>
      </c>
    </row>
    <row r="42" spans="2:6" ht="14.25">
      <c r="B42" s="26" t="s">
        <v>70</v>
      </c>
      <c r="C42" s="14">
        <f>C31*E31*0.25</f>
        <v>0.25</v>
      </c>
      <c r="D42" s="5" t="s">
        <v>5</v>
      </c>
      <c r="E42" s="6">
        <f t="shared" si="1"/>
        <v>0.01</v>
      </c>
      <c r="F42" s="5" t="s">
        <v>37</v>
      </c>
    </row>
    <row r="43" spans="2:6" ht="14.25">
      <c r="B43" s="26" t="s">
        <v>71</v>
      </c>
      <c r="C43" s="14">
        <f>C31*E31*1.1</f>
        <v>1.1</v>
      </c>
      <c r="D43" s="5" t="s">
        <v>5</v>
      </c>
      <c r="E43" s="6">
        <f t="shared" si="1"/>
        <v>0.044000000000000004</v>
      </c>
      <c r="F43" s="5" t="s">
        <v>37</v>
      </c>
    </row>
    <row r="44" spans="2:6" ht="14.25">
      <c r="B44" s="26" t="s">
        <v>72</v>
      </c>
      <c r="C44" s="14">
        <f>C31*E31*1.1</f>
        <v>1.1</v>
      </c>
      <c r="D44" s="5" t="s">
        <v>5</v>
      </c>
      <c r="E44" s="6">
        <f t="shared" si="1"/>
        <v>0.044000000000000004</v>
      </c>
      <c r="F44" s="5" t="s">
        <v>37</v>
      </c>
    </row>
    <row r="47" spans="2:6" ht="18" thickBot="1">
      <c r="B47" s="34" t="s">
        <v>73</v>
      </c>
      <c r="C47" s="34"/>
      <c r="D47" s="34"/>
      <c r="E47" s="34"/>
      <c r="F47" s="34"/>
    </row>
    <row r="48" spans="2:6" ht="15" thickBot="1" thickTop="1">
      <c r="B48" s="7" t="s">
        <v>0</v>
      </c>
      <c r="C48" s="8">
        <v>1</v>
      </c>
      <c r="D48" s="17" t="s">
        <v>1</v>
      </c>
      <c r="E48" s="9">
        <v>1</v>
      </c>
      <c r="F48" s="18"/>
    </row>
    <row r="49" spans="2:6" ht="15" thickTop="1">
      <c r="B49" s="26" t="s">
        <v>74</v>
      </c>
      <c r="C49" s="14">
        <f>C48*E48*0.12</f>
        <v>0.12</v>
      </c>
      <c r="D49" s="5" t="s">
        <v>2</v>
      </c>
      <c r="E49" s="6">
        <f>C49/10</f>
        <v>0.012</v>
      </c>
      <c r="F49" s="5" t="s">
        <v>37</v>
      </c>
    </row>
    <row r="50" spans="2:6" ht="14.25">
      <c r="B50" s="26" t="s">
        <v>75</v>
      </c>
      <c r="C50" s="14">
        <f>C48*E48*0.15</f>
        <v>0.15</v>
      </c>
      <c r="D50" s="5" t="s">
        <v>2</v>
      </c>
      <c r="E50" s="6">
        <f>C50/10</f>
        <v>0.015</v>
      </c>
      <c r="F50" s="5" t="s">
        <v>37</v>
      </c>
    </row>
    <row r="51" spans="2:6" ht="14.25">
      <c r="B51" s="26" t="s">
        <v>76</v>
      </c>
      <c r="C51" s="14">
        <f>C48*E48*0.15</f>
        <v>0.15</v>
      </c>
      <c r="D51" s="5" t="s">
        <v>2</v>
      </c>
      <c r="E51" s="6">
        <f>C51/10</f>
        <v>0.015</v>
      </c>
      <c r="F51" s="5" t="s">
        <v>37</v>
      </c>
    </row>
    <row r="52" spans="2:6" ht="14.25">
      <c r="B52" s="26" t="s">
        <v>77</v>
      </c>
      <c r="C52" s="14">
        <f>C48*E48*0.32</f>
        <v>0.32</v>
      </c>
      <c r="D52" s="5" t="s">
        <v>2</v>
      </c>
      <c r="E52" s="6">
        <f>C52/10</f>
        <v>0.032</v>
      </c>
      <c r="F52" s="5" t="s">
        <v>37</v>
      </c>
    </row>
    <row r="53" spans="2:6" ht="14.25">
      <c r="B53" s="26" t="s">
        <v>78</v>
      </c>
      <c r="C53" s="14">
        <f>C48*E48*0.35</f>
        <v>0.35</v>
      </c>
      <c r="D53" s="5" t="s">
        <v>2</v>
      </c>
      <c r="E53" s="6">
        <f>C53/15</f>
        <v>0.02333333333333333</v>
      </c>
      <c r="F53" s="5" t="s">
        <v>37</v>
      </c>
    </row>
    <row r="54" spans="2:6" ht="14.25">
      <c r="B54" s="26" t="s">
        <v>79</v>
      </c>
      <c r="C54" s="14">
        <f>C48*E48*0.85</f>
        <v>0.85</v>
      </c>
      <c r="D54" s="5" t="s">
        <v>2</v>
      </c>
      <c r="E54" s="6">
        <f>C54/10</f>
        <v>0.08499999999999999</v>
      </c>
      <c r="F54" s="5" t="s">
        <v>37</v>
      </c>
    </row>
    <row r="57" spans="2:6" ht="18" thickBot="1">
      <c r="B57" s="34" t="s">
        <v>81</v>
      </c>
      <c r="C57" s="34"/>
      <c r="D57" s="34"/>
      <c r="E57" s="34"/>
      <c r="F57" s="34"/>
    </row>
    <row r="58" spans="2:6" ht="15" thickBot="1" thickTop="1">
      <c r="B58" s="7" t="s">
        <v>0</v>
      </c>
      <c r="C58" s="8">
        <v>1</v>
      </c>
      <c r="D58" s="17" t="s">
        <v>80</v>
      </c>
      <c r="E58" s="9">
        <v>60</v>
      </c>
      <c r="F58" s="18"/>
    </row>
    <row r="59" spans="2:6" ht="15" thickTop="1">
      <c r="B59" s="26" t="s">
        <v>82</v>
      </c>
      <c r="C59" s="14">
        <f>C58*E58*20/10</f>
        <v>120</v>
      </c>
      <c r="D59" s="5" t="s">
        <v>5</v>
      </c>
      <c r="E59" s="6">
        <f>C59/25</f>
        <v>4.8</v>
      </c>
      <c r="F59" s="5" t="s">
        <v>37</v>
      </c>
    </row>
    <row r="60" spans="2:6" ht="14.25">
      <c r="B60" s="26" t="s">
        <v>83</v>
      </c>
      <c r="C60" s="14">
        <f>C58*E58*13/10</f>
        <v>78</v>
      </c>
      <c r="D60" s="5" t="s">
        <v>5</v>
      </c>
      <c r="E60" s="6">
        <f>C60/25</f>
        <v>3.12</v>
      </c>
      <c r="F60" s="5" t="s">
        <v>37</v>
      </c>
    </row>
    <row r="61" spans="2:6" ht="14.25">
      <c r="B61" s="26" t="s">
        <v>84</v>
      </c>
      <c r="C61" s="14">
        <f>C58*E58*16/10</f>
        <v>96</v>
      </c>
      <c r="D61" s="5" t="s">
        <v>5</v>
      </c>
      <c r="E61" s="6">
        <f>C61/25</f>
        <v>3.84</v>
      </c>
      <c r="F61" s="5" t="s">
        <v>37</v>
      </c>
    </row>
    <row r="62" spans="2:6" ht="14.25">
      <c r="B62" s="26" t="s">
        <v>85</v>
      </c>
      <c r="C62" s="14">
        <f>C58*E58*4.2/10</f>
        <v>25.2</v>
      </c>
      <c r="D62" s="5" t="s">
        <v>5</v>
      </c>
      <c r="E62" s="6">
        <f>C62/25</f>
        <v>1.008</v>
      </c>
      <c r="F62" s="5" t="s">
        <v>37</v>
      </c>
    </row>
    <row r="63" spans="2:6" ht="14.25">
      <c r="B63" s="26" t="s">
        <v>86</v>
      </c>
      <c r="C63" s="14">
        <f>C58*1.8*E58</f>
        <v>108</v>
      </c>
      <c r="D63" s="5" t="s">
        <v>5</v>
      </c>
      <c r="E63" s="6">
        <f>C63/50</f>
        <v>2.16</v>
      </c>
      <c r="F63" s="5" t="s">
        <v>37</v>
      </c>
    </row>
    <row r="64" spans="2:6" ht="14.25">
      <c r="B64" s="26" t="s">
        <v>87</v>
      </c>
      <c r="C64" s="14">
        <f>C58*2*E58</f>
        <v>120</v>
      </c>
      <c r="D64" s="5" t="s">
        <v>5</v>
      </c>
      <c r="E64" s="6">
        <f>C64/50</f>
        <v>2.4</v>
      </c>
      <c r="F64" s="5" t="s">
        <v>37</v>
      </c>
    </row>
  </sheetData>
  <mergeCells count="5">
    <mergeCell ref="B57:F57"/>
    <mergeCell ref="B16:F16"/>
    <mergeCell ref="B30:F30"/>
    <mergeCell ref="B2:F2"/>
    <mergeCell ref="B47:F4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A16">
      <selection activeCell="B48" sqref="B48"/>
    </sheetView>
  </sheetViews>
  <sheetFormatPr defaultColWidth="9.140625" defaultRowHeight="15"/>
  <cols>
    <col min="1" max="1" width="3.140625" style="1" customWidth="1"/>
    <col min="2" max="2" width="34.00390625" style="1" bestFit="1" customWidth="1"/>
    <col min="3" max="3" width="6.7109375" style="1" customWidth="1"/>
    <col min="4" max="4" width="8.00390625" style="1" customWidth="1"/>
    <col min="5" max="5" width="7.421875" style="1" customWidth="1"/>
    <col min="6" max="6" width="8.00390625" style="1" customWidth="1"/>
    <col min="7" max="7" width="6.421875" style="1" customWidth="1"/>
    <col min="8" max="8" width="7.7109375" style="1" customWidth="1"/>
    <col min="9" max="9" width="6.421875" style="1" customWidth="1"/>
    <col min="10" max="16384" width="16.7109375" style="1" customWidth="1"/>
  </cols>
  <sheetData>
    <row r="1" ht="15"/>
    <row r="2" spans="2:5" ht="19.5" thickBot="1">
      <c r="B2" s="34" t="s">
        <v>125</v>
      </c>
      <c r="C2" s="34"/>
      <c r="D2" s="34"/>
      <c r="E2" s="34"/>
    </row>
    <row r="3" spans="2:10" ht="16.5" thickBot="1" thickTop="1">
      <c r="B3" s="7" t="s">
        <v>89</v>
      </c>
      <c r="C3" s="8">
        <v>1</v>
      </c>
      <c r="D3" s="38" t="s">
        <v>90</v>
      </c>
      <c r="E3" s="39"/>
      <c r="F3" s="19"/>
      <c r="G3" s="20"/>
      <c r="H3" s="20"/>
      <c r="I3" s="20"/>
      <c r="J3" s="20"/>
    </row>
    <row r="4" spans="2:10" ht="15.75" thickTop="1">
      <c r="B4" s="20"/>
      <c r="C4" s="20"/>
      <c r="D4" s="35" t="s">
        <v>126</v>
      </c>
      <c r="E4" s="36"/>
      <c r="F4" s="20"/>
      <c r="G4" s="20"/>
      <c r="H4" s="20"/>
      <c r="I4" s="20"/>
      <c r="J4" s="20"/>
    </row>
    <row r="5" spans="2:10" ht="25.5">
      <c r="B5" s="13" t="s">
        <v>127</v>
      </c>
      <c r="C5" s="13" t="s">
        <v>128</v>
      </c>
      <c r="D5" s="13" t="s">
        <v>129</v>
      </c>
      <c r="E5" s="13" t="s">
        <v>130</v>
      </c>
      <c r="F5" s="20"/>
      <c r="G5" s="20" t="s">
        <v>151</v>
      </c>
      <c r="H5" s="20"/>
      <c r="I5" s="20"/>
      <c r="J5" s="20"/>
    </row>
    <row r="6" spans="2:10" ht="15">
      <c r="B6" s="26" t="s">
        <v>131</v>
      </c>
      <c r="C6" s="5" t="s">
        <v>132</v>
      </c>
      <c r="D6" s="14">
        <f>C3*1</f>
        <v>1</v>
      </c>
      <c r="E6" s="14">
        <f>C3*1</f>
        <v>1</v>
      </c>
      <c r="F6" s="20"/>
      <c r="G6" s="20" t="s">
        <v>152</v>
      </c>
      <c r="H6" s="20"/>
      <c r="I6" s="20"/>
      <c r="J6" s="20"/>
    </row>
    <row r="7" spans="2:10" ht="15">
      <c r="B7" s="26" t="s">
        <v>133</v>
      </c>
      <c r="C7" s="5" t="s">
        <v>93</v>
      </c>
      <c r="D7" s="14">
        <f>C3*2.9</f>
        <v>2.9</v>
      </c>
      <c r="E7" s="14">
        <f>C3*3.2</f>
        <v>3.2</v>
      </c>
      <c r="F7" s="20"/>
      <c r="G7" s="20"/>
      <c r="H7" s="20"/>
      <c r="I7" s="20"/>
      <c r="J7" s="20"/>
    </row>
    <row r="8" spans="2:10" ht="15">
      <c r="B8" s="26" t="s">
        <v>134</v>
      </c>
      <c r="C8" s="5" t="s">
        <v>93</v>
      </c>
      <c r="D8" s="14">
        <f>C3*0.8</f>
        <v>0.8</v>
      </c>
      <c r="E8" s="14">
        <f>C3*0</f>
        <v>0</v>
      </c>
      <c r="F8" s="20"/>
      <c r="G8" s="20" t="s">
        <v>153</v>
      </c>
      <c r="H8" s="20"/>
      <c r="I8" s="20"/>
      <c r="J8" s="20"/>
    </row>
    <row r="9" spans="2:10" ht="15">
      <c r="B9" s="26" t="s">
        <v>135</v>
      </c>
      <c r="C9" s="5" t="s">
        <v>136</v>
      </c>
      <c r="D9" s="14">
        <f>C3*0.2</f>
        <v>0.2</v>
      </c>
      <c r="E9" s="14">
        <f>C3*0.6</f>
        <v>0.6</v>
      </c>
      <c r="F9" s="20"/>
      <c r="G9" s="20" t="s">
        <v>154</v>
      </c>
      <c r="H9" s="20"/>
      <c r="I9" s="20"/>
      <c r="J9" s="20"/>
    </row>
    <row r="10" spans="2:10" ht="15">
      <c r="B10" s="26" t="s">
        <v>137</v>
      </c>
      <c r="C10" s="5" t="s">
        <v>136</v>
      </c>
      <c r="D10" s="14">
        <f>C3*1.7</f>
        <v>1.7</v>
      </c>
      <c r="E10" s="14">
        <f>C3*2.3</f>
        <v>2.3</v>
      </c>
      <c r="F10" s="20"/>
      <c r="G10" s="20"/>
      <c r="H10" s="20"/>
      <c r="I10" s="20"/>
      <c r="J10" s="20"/>
    </row>
    <row r="11" spans="2:10" ht="15">
      <c r="B11" s="27" t="s">
        <v>138</v>
      </c>
      <c r="C11" s="21" t="s">
        <v>136</v>
      </c>
      <c r="D11" s="23">
        <f>C3*0.7</f>
        <v>0.7</v>
      </c>
      <c r="E11" s="23">
        <f>C3*1.3</f>
        <v>1.3</v>
      </c>
      <c r="F11" s="20"/>
      <c r="G11" s="20"/>
      <c r="H11" s="20"/>
      <c r="I11" s="20"/>
      <c r="J11" s="20"/>
    </row>
    <row r="12" spans="2:10" ht="15">
      <c r="B12" s="27" t="s">
        <v>139</v>
      </c>
      <c r="C12" s="21" t="s">
        <v>136</v>
      </c>
      <c r="D12" s="23">
        <f>C3*1.4</f>
        <v>1.4</v>
      </c>
      <c r="E12" s="23">
        <f>C3*2.6</f>
        <v>2.6</v>
      </c>
      <c r="F12" s="20"/>
      <c r="G12" s="20"/>
      <c r="H12" s="20"/>
      <c r="I12" s="20"/>
      <c r="J12" s="20"/>
    </row>
    <row r="13" spans="2:10" ht="15">
      <c r="B13" s="35" t="s">
        <v>140</v>
      </c>
      <c r="C13" s="37"/>
      <c r="D13" s="37"/>
      <c r="E13" s="36"/>
      <c r="F13" s="20"/>
      <c r="G13" s="20"/>
      <c r="H13" s="20"/>
      <c r="I13" s="20"/>
      <c r="J13" s="20"/>
    </row>
    <row r="14" spans="2:10" ht="15">
      <c r="B14" s="30" t="s">
        <v>141</v>
      </c>
      <c r="C14" s="22" t="s">
        <v>136</v>
      </c>
      <c r="D14" s="24">
        <f>C3*0.7</f>
        <v>0.7</v>
      </c>
      <c r="E14" s="24">
        <f>C3*1.3</f>
        <v>1.3</v>
      </c>
      <c r="F14" s="20"/>
      <c r="G14" s="20"/>
      <c r="H14" s="20"/>
      <c r="I14" s="20"/>
      <c r="J14" s="20"/>
    </row>
    <row r="15" spans="2:10" ht="15">
      <c r="B15" s="27" t="s">
        <v>142</v>
      </c>
      <c r="C15" s="21" t="s">
        <v>136</v>
      </c>
      <c r="D15" s="23">
        <f>C3*0.7</f>
        <v>0.7</v>
      </c>
      <c r="E15" s="23">
        <f>C3*1.3</f>
        <v>1.3</v>
      </c>
      <c r="F15" s="20"/>
      <c r="G15" s="20"/>
      <c r="H15" s="20"/>
      <c r="I15" s="20"/>
      <c r="J15" s="20"/>
    </row>
    <row r="16" spans="2:10" ht="15">
      <c r="B16" s="26" t="s">
        <v>143</v>
      </c>
      <c r="C16" s="5" t="s">
        <v>136</v>
      </c>
      <c r="D16" s="14">
        <f>C3*23</f>
        <v>23</v>
      </c>
      <c r="E16" s="14">
        <f>C3*17</f>
        <v>17</v>
      </c>
      <c r="F16" s="20"/>
      <c r="G16" s="20"/>
      <c r="H16" s="20"/>
      <c r="I16" s="20"/>
      <c r="J16" s="20"/>
    </row>
    <row r="17" spans="2:10" ht="15">
      <c r="B17" s="26" t="s">
        <v>144</v>
      </c>
      <c r="C17" s="5" t="s">
        <v>136</v>
      </c>
      <c r="D17" s="14">
        <f>C3*0.7</f>
        <v>0.7</v>
      </c>
      <c r="E17" s="14">
        <f>C3*1.3</f>
        <v>1.3</v>
      </c>
      <c r="F17" s="20"/>
      <c r="G17" s="20"/>
      <c r="H17" s="20"/>
      <c r="I17" s="20"/>
      <c r="J17" s="20"/>
    </row>
    <row r="18" spans="2:10" ht="15">
      <c r="B18" s="26" t="s">
        <v>145</v>
      </c>
      <c r="C18" s="5" t="s">
        <v>136</v>
      </c>
      <c r="D18" s="25" t="s">
        <v>146</v>
      </c>
      <c r="E18" s="14">
        <v>0</v>
      </c>
      <c r="F18" s="20"/>
      <c r="G18" s="20"/>
      <c r="H18" s="20"/>
      <c r="I18" s="20"/>
      <c r="J18" s="20"/>
    </row>
    <row r="19" spans="2:10" ht="15">
      <c r="B19" s="26" t="s">
        <v>147</v>
      </c>
      <c r="C19" s="5" t="s">
        <v>93</v>
      </c>
      <c r="D19" s="14">
        <f>C3*1.2</f>
        <v>1.2</v>
      </c>
      <c r="E19" s="14">
        <f>C3*1.2</f>
        <v>1.2</v>
      </c>
      <c r="F19" s="20"/>
      <c r="G19" s="20"/>
      <c r="H19" s="20"/>
      <c r="I19" s="20"/>
      <c r="J19" s="20"/>
    </row>
    <row r="20" spans="2:10" ht="15">
      <c r="B20" s="26" t="s">
        <v>148</v>
      </c>
      <c r="C20" s="5" t="s">
        <v>149</v>
      </c>
      <c r="D20" s="14">
        <f>C3*0.4</f>
        <v>0.4</v>
      </c>
      <c r="E20" s="14">
        <f>C3*0.4</f>
        <v>0.4</v>
      </c>
      <c r="F20" s="20"/>
      <c r="G20" s="20"/>
      <c r="H20" s="20"/>
      <c r="I20" s="20"/>
      <c r="J20" s="20"/>
    </row>
    <row r="21" spans="2:10" ht="15">
      <c r="B21" s="26" t="s">
        <v>150</v>
      </c>
      <c r="C21" s="5" t="s">
        <v>149</v>
      </c>
      <c r="D21" s="14">
        <f>C3*0.1</f>
        <v>0.1</v>
      </c>
      <c r="E21" s="14">
        <f>C3*0.1</f>
        <v>0.1</v>
      </c>
      <c r="F21" s="20"/>
      <c r="G21" s="20"/>
      <c r="H21" s="20"/>
      <c r="I21" s="20"/>
      <c r="J21" s="20"/>
    </row>
    <row r="22" ht="15"/>
    <row r="23" ht="15"/>
    <row r="24" spans="2:8" ht="19.5" thickBot="1">
      <c r="B24" s="40" t="s">
        <v>185</v>
      </c>
      <c r="C24" s="41"/>
      <c r="D24" s="41"/>
      <c r="E24" s="41"/>
      <c r="F24" s="41"/>
      <c r="G24" s="41"/>
      <c r="H24" s="42"/>
    </row>
    <row r="25" spans="2:9" ht="16.5" thickBot="1" thickTop="1">
      <c r="B25" s="7" t="s">
        <v>110</v>
      </c>
      <c r="C25" s="8">
        <v>1</v>
      </c>
      <c r="D25" s="38" t="s">
        <v>90</v>
      </c>
      <c r="E25" s="43"/>
      <c r="F25" s="43"/>
      <c r="G25" s="43"/>
      <c r="H25" s="39"/>
      <c r="I25" s="3"/>
    </row>
    <row r="26" spans="2:8" ht="15.75" thickTop="1">
      <c r="B26" s="20"/>
      <c r="C26" s="20"/>
      <c r="D26" s="35" t="s">
        <v>126</v>
      </c>
      <c r="E26" s="37"/>
      <c r="F26" s="37"/>
      <c r="G26" s="37"/>
      <c r="H26" s="36"/>
    </row>
    <row r="27" spans="2:10" ht="25.5">
      <c r="B27" s="13" t="s">
        <v>155</v>
      </c>
      <c r="C27" s="13" t="s">
        <v>128</v>
      </c>
      <c r="D27" s="13" t="s">
        <v>156</v>
      </c>
      <c r="E27" s="13" t="s">
        <v>157</v>
      </c>
      <c r="F27" s="13" t="s">
        <v>158</v>
      </c>
      <c r="G27" s="13" t="s">
        <v>159</v>
      </c>
      <c r="H27" s="13" t="s">
        <v>160</v>
      </c>
      <c r="J27" s="20" t="s">
        <v>170</v>
      </c>
    </row>
    <row r="28" spans="2:10" ht="15">
      <c r="B28" s="26" t="s">
        <v>161</v>
      </c>
      <c r="C28" s="5" t="s">
        <v>132</v>
      </c>
      <c r="D28" s="25">
        <f>C25*2</f>
        <v>2</v>
      </c>
      <c r="E28" s="25">
        <f>C25*4</f>
        <v>4</v>
      </c>
      <c r="F28" s="25">
        <f>C25*6</f>
        <v>6</v>
      </c>
      <c r="G28" s="25">
        <f>C25*4</f>
        <v>4</v>
      </c>
      <c r="H28" s="25">
        <f>C25*4.1</f>
        <v>4.1</v>
      </c>
      <c r="J28" s="20" t="s">
        <v>171</v>
      </c>
    </row>
    <row r="29" spans="2:10" ht="15">
      <c r="B29" s="26" t="s">
        <v>134</v>
      </c>
      <c r="C29" s="5" t="s">
        <v>93</v>
      </c>
      <c r="D29" s="25">
        <f>C25*0.7</f>
        <v>0.7</v>
      </c>
      <c r="E29" s="25">
        <f>C25*0.7</f>
        <v>0.7</v>
      </c>
      <c r="F29" s="25">
        <f>C25*0.7</f>
        <v>0.7</v>
      </c>
      <c r="G29" s="25">
        <f>C25*1.4</f>
        <v>1.4</v>
      </c>
      <c r="H29" s="25">
        <f>C25*1.4</f>
        <v>1.4</v>
      </c>
      <c r="J29" s="20" t="s">
        <v>172</v>
      </c>
    </row>
    <row r="30" spans="2:10" ht="15">
      <c r="B30" s="26" t="s">
        <v>162</v>
      </c>
      <c r="C30" s="5" t="s">
        <v>93</v>
      </c>
      <c r="D30" s="25">
        <f>C25*2</f>
        <v>2</v>
      </c>
      <c r="E30" s="25">
        <f>C25*2</f>
        <v>2</v>
      </c>
      <c r="F30" s="25">
        <f>C25*2</f>
        <v>2</v>
      </c>
      <c r="G30" s="25">
        <f>C25*4</f>
        <v>4</v>
      </c>
      <c r="H30" s="25">
        <f>C25*4</f>
        <v>4</v>
      </c>
      <c r="J30" s="20" t="s">
        <v>173</v>
      </c>
    </row>
    <row r="31" spans="2:10" ht="15">
      <c r="B31" s="26" t="s">
        <v>143</v>
      </c>
      <c r="C31" s="5" t="s">
        <v>136</v>
      </c>
      <c r="D31" s="25">
        <f>C25*29</f>
        <v>29</v>
      </c>
      <c r="E31" s="25">
        <f>C25*13</f>
        <v>13</v>
      </c>
      <c r="F31" s="25">
        <f>C25*2</f>
        <v>2</v>
      </c>
      <c r="G31" s="25">
        <f>C25*13</f>
        <v>13</v>
      </c>
      <c r="H31" s="25">
        <f>C25*18</f>
        <v>18</v>
      </c>
      <c r="J31" s="20" t="s">
        <v>174</v>
      </c>
    </row>
    <row r="32" spans="2:8" ht="15">
      <c r="B32" s="26" t="s">
        <v>163</v>
      </c>
      <c r="C32" s="5" t="s">
        <v>136</v>
      </c>
      <c r="D32" s="25">
        <f>C25*0</f>
        <v>0</v>
      </c>
      <c r="E32" s="25">
        <f>C25*29</f>
        <v>29</v>
      </c>
      <c r="F32" s="25">
        <f>C25*21</f>
        <v>21</v>
      </c>
      <c r="G32" s="25">
        <f>C25*29</f>
        <v>29</v>
      </c>
      <c r="H32" s="25">
        <f>C25*29</f>
        <v>29</v>
      </c>
    </row>
    <row r="33" spans="2:10" ht="15">
      <c r="B33" s="26" t="s">
        <v>164</v>
      </c>
      <c r="C33" s="5" t="s">
        <v>136</v>
      </c>
      <c r="D33" s="25">
        <f>C25*0</f>
        <v>0</v>
      </c>
      <c r="E33" s="25">
        <f>C25*0</f>
        <v>0</v>
      </c>
      <c r="F33" s="25">
        <f>C25*29</f>
        <v>29</v>
      </c>
      <c r="G33" s="25">
        <f>C25*0</f>
        <v>0</v>
      </c>
      <c r="H33" s="25">
        <f>C25*0</f>
        <v>0</v>
      </c>
      <c r="J33" s="20" t="s">
        <v>169</v>
      </c>
    </row>
    <row r="34" spans="2:8" ht="15">
      <c r="B34" s="26" t="s">
        <v>148</v>
      </c>
      <c r="C34" s="5" t="s">
        <v>149</v>
      </c>
      <c r="D34" s="25">
        <f>C25*0.6</f>
        <v>0.6</v>
      </c>
      <c r="E34" s="25">
        <f>C25*1</f>
        <v>1</v>
      </c>
      <c r="F34" s="25">
        <f>C25*1.4</f>
        <v>1.4</v>
      </c>
      <c r="G34" s="25">
        <f>C25*1</f>
        <v>1</v>
      </c>
      <c r="H34" s="25">
        <f>C25*1.4</f>
        <v>1.4</v>
      </c>
    </row>
    <row r="35" spans="2:8" ht="15">
      <c r="B35" s="26" t="s">
        <v>147</v>
      </c>
      <c r="C35" s="5" t="s">
        <v>93</v>
      </c>
      <c r="D35" s="25">
        <f>C25*1.5</f>
        <v>1.5</v>
      </c>
      <c r="E35" s="25">
        <f>C25*1.5</f>
        <v>1.5</v>
      </c>
      <c r="F35" s="25">
        <f>C25*1.5</f>
        <v>1.5</v>
      </c>
      <c r="G35" s="25">
        <f>C25*1.5</f>
        <v>1.5</v>
      </c>
      <c r="H35" s="25">
        <f>C25*2</f>
        <v>2</v>
      </c>
    </row>
    <row r="36" spans="2:8" ht="15">
      <c r="B36" s="26" t="s">
        <v>145</v>
      </c>
      <c r="C36" s="5" t="s">
        <v>136</v>
      </c>
      <c r="D36" s="25">
        <f>C25*1.5</f>
        <v>1.5</v>
      </c>
      <c r="E36" s="25">
        <f>C25*1.5</f>
        <v>1.5</v>
      </c>
      <c r="F36" s="25">
        <f>C25*7</f>
        <v>7</v>
      </c>
      <c r="G36" s="25">
        <f>C25*3</f>
        <v>3</v>
      </c>
      <c r="H36" s="25">
        <f>C25*3</f>
        <v>3</v>
      </c>
    </row>
    <row r="37" spans="2:8" ht="15">
      <c r="B37" s="26" t="s">
        <v>165</v>
      </c>
      <c r="C37" s="5" t="s">
        <v>136</v>
      </c>
      <c r="D37" s="25">
        <f>C25*0</f>
        <v>0</v>
      </c>
      <c r="E37" s="25">
        <f>C25*0</f>
        <v>0</v>
      </c>
      <c r="F37" s="25">
        <f>C25*1.6</f>
        <v>1.6</v>
      </c>
      <c r="G37" s="25">
        <f>C25*0</f>
        <v>0</v>
      </c>
      <c r="H37" s="25">
        <f>C25*0</f>
        <v>0</v>
      </c>
    </row>
    <row r="38" spans="2:8" ht="15">
      <c r="B38" s="26" t="s">
        <v>166</v>
      </c>
      <c r="C38" s="5" t="s">
        <v>93</v>
      </c>
      <c r="D38" s="25">
        <f>C25*1.2</f>
        <v>1.2</v>
      </c>
      <c r="E38" s="25">
        <f>C25*1.2</f>
        <v>1.2</v>
      </c>
      <c r="F38" s="25">
        <f>C25*1.2</f>
        <v>1.2</v>
      </c>
      <c r="G38" s="25">
        <f>C25*2.4</f>
        <v>2.4</v>
      </c>
      <c r="H38" s="25">
        <f>C25*2.4</f>
        <v>2.4</v>
      </c>
    </row>
    <row r="39" spans="2:8" ht="15">
      <c r="B39" s="26" t="s">
        <v>167</v>
      </c>
      <c r="C39" s="5" t="s">
        <v>132</v>
      </c>
      <c r="D39" s="25">
        <f>C25*1</f>
        <v>1</v>
      </c>
      <c r="E39" s="25">
        <f>C25*1</f>
        <v>1</v>
      </c>
      <c r="F39" s="25">
        <f>C25*1</f>
        <v>1</v>
      </c>
      <c r="G39" s="25">
        <f>C25*1</f>
        <v>1</v>
      </c>
      <c r="H39" s="25">
        <f>C25*1</f>
        <v>1</v>
      </c>
    </row>
    <row r="40" spans="2:8" ht="15">
      <c r="B40" s="26" t="s">
        <v>168</v>
      </c>
      <c r="C40" s="5" t="s">
        <v>93</v>
      </c>
      <c r="D40" s="25" t="s">
        <v>146</v>
      </c>
      <c r="E40" s="25" t="s">
        <v>146</v>
      </c>
      <c r="F40" s="25" t="s">
        <v>146</v>
      </c>
      <c r="G40" s="25" t="s">
        <v>146</v>
      </c>
      <c r="H40" s="25" t="s">
        <v>146</v>
      </c>
    </row>
    <row r="41" spans="2:8" ht="15">
      <c r="B41" s="26" t="s">
        <v>150</v>
      </c>
      <c r="C41" s="5" t="s">
        <v>149</v>
      </c>
      <c r="D41" s="25">
        <f>C25*0.2</f>
        <v>0.2</v>
      </c>
      <c r="E41" s="25">
        <f>C25*0.2</f>
        <v>0.2</v>
      </c>
      <c r="F41" s="25">
        <f>C25*0.2</f>
        <v>0.2</v>
      </c>
      <c r="G41" s="25">
        <f>C25*0.2</f>
        <v>0.2</v>
      </c>
      <c r="H41" s="25">
        <f>C25*0.2</f>
        <v>0.2</v>
      </c>
    </row>
    <row r="42" ht="15"/>
    <row r="43" ht="15"/>
    <row r="44" spans="2:8" ht="19.5" thickBot="1">
      <c r="B44" s="40" t="s">
        <v>186</v>
      </c>
      <c r="C44" s="41"/>
      <c r="D44" s="41"/>
      <c r="E44" s="41"/>
      <c r="F44" s="41"/>
      <c r="G44" s="41"/>
      <c r="H44" s="42"/>
    </row>
    <row r="45" spans="2:8" ht="16.5" thickBot="1" thickTop="1">
      <c r="B45" s="7" t="s">
        <v>110</v>
      </c>
      <c r="C45" s="8">
        <v>999</v>
      </c>
      <c r="D45" s="38" t="s">
        <v>90</v>
      </c>
      <c r="E45" s="43"/>
      <c r="F45" s="43"/>
      <c r="G45" s="43"/>
      <c r="H45" s="39"/>
    </row>
    <row r="46" spans="2:8" ht="15.75" thickTop="1">
      <c r="B46" s="20"/>
      <c r="C46" s="20"/>
      <c r="D46" s="35" t="s">
        <v>126</v>
      </c>
      <c r="E46" s="37"/>
      <c r="F46" s="37"/>
      <c r="G46" s="37"/>
      <c r="H46" s="36"/>
    </row>
    <row r="47" spans="2:10" ht="25.5">
      <c r="B47" s="13" t="s">
        <v>188</v>
      </c>
      <c r="C47" s="13" t="s">
        <v>128</v>
      </c>
      <c r="D47" s="13" t="s">
        <v>175</v>
      </c>
      <c r="E47" s="13" t="s">
        <v>176</v>
      </c>
      <c r="F47" s="13"/>
      <c r="G47" s="13"/>
      <c r="H47" s="13"/>
      <c r="J47" s="20" t="s">
        <v>177</v>
      </c>
    </row>
    <row r="48" spans="2:10" ht="15">
      <c r="B48" s="26" t="s">
        <v>161</v>
      </c>
      <c r="C48" s="5" t="s">
        <v>132</v>
      </c>
      <c r="D48" s="25">
        <f>C45*1</f>
        <v>999</v>
      </c>
      <c r="E48" s="25">
        <f>C45*2</f>
        <v>1998</v>
      </c>
      <c r="F48" s="25"/>
      <c r="G48" s="25"/>
      <c r="H48" s="25"/>
      <c r="J48" s="20" t="s">
        <v>178</v>
      </c>
    </row>
    <row r="49" spans="2:8" ht="15">
      <c r="B49" s="26" t="s">
        <v>134</v>
      </c>
      <c r="C49" s="5" t="s">
        <v>93</v>
      </c>
      <c r="D49" s="25">
        <f>C45*0.7</f>
        <v>699.3</v>
      </c>
      <c r="E49" s="25">
        <f>C45*0.7</f>
        <v>699.3</v>
      </c>
      <c r="F49" s="25"/>
      <c r="G49" s="25"/>
      <c r="H49" s="25"/>
    </row>
    <row r="50" spans="2:10" ht="15">
      <c r="B50" s="26" t="s">
        <v>162</v>
      </c>
      <c r="C50" s="5" t="s">
        <v>93</v>
      </c>
      <c r="D50" s="25">
        <f>C45*2</f>
        <v>1998</v>
      </c>
      <c r="E50" s="25">
        <f>C45*2</f>
        <v>1998</v>
      </c>
      <c r="F50" s="25"/>
      <c r="G50" s="25"/>
      <c r="H50" s="25"/>
      <c r="J50" s="20" t="s">
        <v>169</v>
      </c>
    </row>
    <row r="51" spans="2:10" ht="15">
      <c r="B51" s="26" t="s">
        <v>143</v>
      </c>
      <c r="C51" s="5" t="s">
        <v>136</v>
      </c>
      <c r="D51" s="25">
        <f>C45*14</f>
        <v>13986</v>
      </c>
      <c r="E51" s="25">
        <f>C45*6</f>
        <v>5994</v>
      </c>
      <c r="F51" s="25"/>
      <c r="G51" s="25"/>
      <c r="H51" s="25"/>
      <c r="J51" s="31" t="s">
        <v>179</v>
      </c>
    </row>
    <row r="52" spans="2:8" ht="15">
      <c r="B52" s="26" t="s">
        <v>163</v>
      </c>
      <c r="C52" s="5" t="s">
        <v>136</v>
      </c>
      <c r="D52" s="25">
        <f>C45*0</f>
        <v>0</v>
      </c>
      <c r="E52" s="25">
        <f>C45*14</f>
        <v>13986</v>
      </c>
      <c r="F52" s="25"/>
      <c r="G52" s="25"/>
      <c r="H52" s="25"/>
    </row>
    <row r="53" spans="2:10" ht="15">
      <c r="B53" s="26" t="s">
        <v>164</v>
      </c>
      <c r="C53" s="5" t="s">
        <v>136</v>
      </c>
      <c r="D53" s="25">
        <f>C45*0</f>
        <v>0</v>
      </c>
      <c r="E53" s="25">
        <f>C45*0</f>
        <v>0</v>
      </c>
      <c r="F53" s="25"/>
      <c r="G53" s="25"/>
      <c r="H53" s="25"/>
      <c r="J53" s="20"/>
    </row>
    <row r="54" spans="2:8" ht="14.25">
      <c r="B54" s="26" t="s">
        <v>148</v>
      </c>
      <c r="C54" s="5" t="s">
        <v>149</v>
      </c>
      <c r="D54" s="25">
        <f>C45*0.3</f>
        <v>299.7</v>
      </c>
      <c r="E54" s="25">
        <f>C45*0.5</f>
        <v>499.5</v>
      </c>
      <c r="F54" s="25"/>
      <c r="G54" s="25"/>
      <c r="H54" s="25"/>
    </row>
    <row r="55" spans="2:8" ht="14.25">
      <c r="B55" s="26" t="s">
        <v>147</v>
      </c>
      <c r="C55" s="5" t="s">
        <v>93</v>
      </c>
      <c r="D55" s="25">
        <f>C45*0.75</f>
        <v>749.25</v>
      </c>
      <c r="E55" s="25">
        <f>C45*0.75</f>
        <v>749.25</v>
      </c>
      <c r="F55" s="25"/>
      <c r="G55" s="25"/>
      <c r="H55" s="25"/>
    </row>
    <row r="56" spans="2:8" ht="14.25">
      <c r="B56" s="26" t="s">
        <v>145</v>
      </c>
      <c r="C56" s="5" t="s">
        <v>136</v>
      </c>
      <c r="D56" s="25">
        <f>C45*1.6</f>
        <v>1598.4</v>
      </c>
      <c r="E56" s="25">
        <f>C45*1.6</f>
        <v>1598.4</v>
      </c>
      <c r="F56" s="25"/>
      <c r="G56" s="25"/>
      <c r="H56" s="25"/>
    </row>
    <row r="57" spans="2:8" ht="14.25">
      <c r="B57" s="26" t="s">
        <v>166</v>
      </c>
      <c r="C57" s="5" t="s">
        <v>93</v>
      </c>
      <c r="D57" s="25">
        <f>C45*1.2</f>
        <v>1198.8</v>
      </c>
      <c r="E57" s="25">
        <f>C45*1.2</f>
        <v>1198.8</v>
      </c>
      <c r="F57" s="25"/>
      <c r="G57" s="25"/>
      <c r="H57" s="25"/>
    </row>
    <row r="58" spans="2:8" ht="14.25">
      <c r="B58" s="26" t="s">
        <v>167</v>
      </c>
      <c r="C58" s="5" t="s">
        <v>132</v>
      </c>
      <c r="D58" s="25">
        <f>C45*1</f>
        <v>999</v>
      </c>
      <c r="E58" s="25">
        <f>C45*1</f>
        <v>999</v>
      </c>
      <c r="F58" s="25"/>
      <c r="G58" s="25"/>
      <c r="H58" s="25"/>
    </row>
    <row r="59" spans="2:8" ht="14.25">
      <c r="B59" s="26" t="s">
        <v>168</v>
      </c>
      <c r="C59" s="5" t="s">
        <v>93</v>
      </c>
      <c r="D59" s="25" t="s">
        <v>146</v>
      </c>
      <c r="E59" s="25" t="s">
        <v>146</v>
      </c>
      <c r="F59" s="25"/>
      <c r="G59" s="25"/>
      <c r="H59" s="25"/>
    </row>
    <row r="60" spans="2:8" ht="14.25">
      <c r="B60" s="26" t="s">
        <v>150</v>
      </c>
      <c r="C60" s="5" t="s">
        <v>149</v>
      </c>
      <c r="D60" s="25">
        <f>C45*0.1</f>
        <v>99.9</v>
      </c>
      <c r="E60" s="25">
        <f>C45*0.1</f>
        <v>99.9</v>
      </c>
      <c r="F60" s="25"/>
      <c r="G60" s="25"/>
      <c r="H60" s="25"/>
    </row>
  </sheetData>
  <mergeCells count="10">
    <mergeCell ref="B24:H24"/>
    <mergeCell ref="B44:H44"/>
    <mergeCell ref="D46:H46"/>
    <mergeCell ref="D45:H45"/>
    <mergeCell ref="D25:H25"/>
    <mergeCell ref="D26:H26"/>
    <mergeCell ref="B2:E2"/>
    <mergeCell ref="D4:E4"/>
    <mergeCell ref="B13:E13"/>
    <mergeCell ref="D3:E3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8"/>
  <sheetViews>
    <sheetView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58.140625" style="1" customWidth="1"/>
    <col min="3" max="3" width="7.00390625" style="1" customWidth="1"/>
    <col min="4" max="4" width="7.421875" style="1" customWidth="1"/>
    <col min="5" max="5" width="7.8515625" style="1" customWidth="1"/>
    <col min="6" max="6" width="8.140625" style="1" bestFit="1" customWidth="1"/>
    <col min="7" max="7" width="7.57421875" style="1" bestFit="1" customWidth="1"/>
    <col min="8" max="8" width="8.7109375" style="1" customWidth="1"/>
    <col min="9" max="9" width="7.7109375" style="1" customWidth="1"/>
    <col min="10" max="16384" width="16.7109375" style="1" customWidth="1"/>
  </cols>
  <sheetData>
    <row r="2" spans="2:6" ht="18" thickBot="1">
      <c r="B2" s="34" t="s">
        <v>88</v>
      </c>
      <c r="C2" s="34"/>
      <c r="D2" s="34"/>
      <c r="E2" s="34"/>
      <c r="F2" s="34"/>
    </row>
    <row r="3" spans="2:6" ht="15" thickBot="1" thickTop="1">
      <c r="B3" s="7" t="s">
        <v>89</v>
      </c>
      <c r="C3" s="8">
        <v>1</v>
      </c>
      <c r="D3" s="38" t="s">
        <v>90</v>
      </c>
      <c r="E3" s="43"/>
      <c r="F3" s="39"/>
    </row>
    <row r="4" spans="2:6" ht="15" thickTop="1">
      <c r="B4" s="26" t="s">
        <v>91</v>
      </c>
      <c r="C4" s="14">
        <f>C3*2.777</f>
        <v>2.777</v>
      </c>
      <c r="D4" s="5" t="s">
        <v>92</v>
      </c>
      <c r="E4" s="6">
        <f>C4/20</f>
        <v>0.13885</v>
      </c>
      <c r="F4" s="5" t="s">
        <v>37</v>
      </c>
    </row>
    <row r="5" spans="2:6" ht="14.25">
      <c r="B5" s="26" t="s">
        <v>96</v>
      </c>
      <c r="C5" s="14">
        <f>C3*0.84</f>
        <v>0.84</v>
      </c>
      <c r="D5" s="5" t="s">
        <v>93</v>
      </c>
      <c r="E5" s="6">
        <f>C5/3.7</f>
        <v>0.227027027027027</v>
      </c>
      <c r="F5" s="5" t="s">
        <v>92</v>
      </c>
    </row>
    <row r="6" spans="2:6" ht="14.25">
      <c r="B6" s="26" t="s">
        <v>97</v>
      </c>
      <c r="C6" s="14">
        <f>C3*1.68</f>
        <v>1.68</v>
      </c>
      <c r="D6" s="5" t="s">
        <v>93</v>
      </c>
      <c r="E6" s="6">
        <f>C6/1.2</f>
        <v>1.4</v>
      </c>
      <c r="F6" s="5" t="s">
        <v>92</v>
      </c>
    </row>
    <row r="7" spans="2:6" ht="14.25">
      <c r="B7" s="26" t="s">
        <v>98</v>
      </c>
      <c r="C7" s="14">
        <f>C3*0.84</f>
        <v>0.84</v>
      </c>
      <c r="D7" s="5" t="s">
        <v>93</v>
      </c>
      <c r="E7" s="6">
        <f>C7/0.6</f>
        <v>1.4</v>
      </c>
      <c r="F7" s="5" t="s">
        <v>92</v>
      </c>
    </row>
    <row r="8" spans="2:6" ht="14.25">
      <c r="B8" s="26" t="s">
        <v>94</v>
      </c>
      <c r="C8" s="14">
        <f>C3*0.7</f>
        <v>0.7</v>
      </c>
      <c r="D8" s="5" t="s">
        <v>92</v>
      </c>
      <c r="E8" s="6"/>
      <c r="F8" s="5"/>
    </row>
    <row r="9" spans="2:6" ht="14.25">
      <c r="B9" s="26" t="s">
        <v>95</v>
      </c>
      <c r="C9" s="14">
        <f>C3*0.5</f>
        <v>0.5</v>
      </c>
      <c r="D9" s="5" t="s">
        <v>93</v>
      </c>
      <c r="E9" s="6">
        <f>C9/3</f>
        <v>0.16666666666666666</v>
      </c>
      <c r="F9" s="5" t="s">
        <v>92</v>
      </c>
    </row>
    <row r="10" spans="2:6" ht="14.25">
      <c r="B10" s="26" t="s">
        <v>99</v>
      </c>
      <c r="C10" s="14">
        <f>C3/5</f>
        <v>0.2</v>
      </c>
      <c r="D10" s="5" t="s">
        <v>92</v>
      </c>
      <c r="E10" s="6"/>
      <c r="F10" s="5"/>
    </row>
    <row r="11" spans="2:6" ht="14.25">
      <c r="B11" s="26" t="s">
        <v>100</v>
      </c>
      <c r="C11" s="14">
        <f>C3/2</f>
        <v>0.5</v>
      </c>
      <c r="D11" s="5" t="s">
        <v>92</v>
      </c>
      <c r="E11" s="6"/>
      <c r="F11" s="5"/>
    </row>
    <row r="14" spans="2:6" ht="18" customHeight="1" thickBot="1">
      <c r="B14" s="34" t="s">
        <v>101</v>
      </c>
      <c r="C14" s="34"/>
      <c r="D14" s="34"/>
      <c r="E14" s="34"/>
      <c r="F14" s="34"/>
    </row>
    <row r="15" spans="2:6" ht="15" thickBot="1" thickTop="1">
      <c r="B15" s="7" t="s">
        <v>89</v>
      </c>
      <c r="C15" s="8">
        <v>1</v>
      </c>
      <c r="D15" s="38" t="s">
        <v>90</v>
      </c>
      <c r="E15" s="43"/>
      <c r="F15" s="39"/>
    </row>
    <row r="16" spans="2:6" ht="15" thickTop="1">
      <c r="B16" s="26" t="s">
        <v>91</v>
      </c>
      <c r="C16" s="14">
        <f>C15*2.777</f>
        <v>2.777</v>
      </c>
      <c r="D16" s="5" t="s">
        <v>92</v>
      </c>
      <c r="E16" s="6"/>
      <c r="F16" s="5"/>
    </row>
    <row r="17" spans="2:6" ht="27">
      <c r="B17" s="26" t="s">
        <v>102</v>
      </c>
      <c r="C17" s="14">
        <f>C15*1.7</f>
        <v>1.7</v>
      </c>
      <c r="D17" s="5" t="s">
        <v>93</v>
      </c>
      <c r="E17" s="6"/>
      <c r="F17" s="5"/>
    </row>
    <row r="18" spans="2:6" ht="41.25">
      <c r="B18" s="26" t="s">
        <v>103</v>
      </c>
      <c r="C18" s="14">
        <f>C15*0.7</f>
        <v>0.7</v>
      </c>
      <c r="D18" s="5" t="s">
        <v>93</v>
      </c>
      <c r="E18" s="6"/>
      <c r="F18" s="5"/>
    </row>
    <row r="19" spans="2:6" ht="41.25">
      <c r="B19" s="26" t="s">
        <v>104</v>
      </c>
      <c r="C19" s="14">
        <f>C15*1.4</f>
        <v>1.4</v>
      </c>
      <c r="D19" s="5" t="s">
        <v>93</v>
      </c>
      <c r="E19" s="6"/>
      <c r="F19" s="5"/>
    </row>
    <row r="20" spans="2:6" ht="27">
      <c r="B20" s="26" t="s">
        <v>105</v>
      </c>
      <c r="C20" s="14">
        <f>C15*0.7</f>
        <v>0.7</v>
      </c>
      <c r="D20" s="5" t="s">
        <v>92</v>
      </c>
      <c r="E20" s="6"/>
      <c r="F20" s="5"/>
    </row>
    <row r="21" spans="2:6" ht="14.25">
      <c r="B21" s="26" t="s">
        <v>106</v>
      </c>
      <c r="C21" s="14">
        <f>C15*0.7</f>
        <v>0.7</v>
      </c>
      <c r="D21" s="5" t="s">
        <v>93</v>
      </c>
      <c r="E21" s="6"/>
      <c r="F21" s="5"/>
    </row>
    <row r="22" spans="2:6" ht="14.25">
      <c r="B22" s="26" t="s">
        <v>107</v>
      </c>
      <c r="C22" s="14">
        <f>C15*0.17</f>
        <v>0.17</v>
      </c>
      <c r="D22" s="5" t="s">
        <v>92</v>
      </c>
      <c r="E22" s="6"/>
      <c r="F22" s="5"/>
    </row>
    <row r="23" spans="2:6" ht="14.25">
      <c r="B23" s="26" t="s">
        <v>108</v>
      </c>
      <c r="C23" s="14">
        <f>C15*0.07</f>
        <v>0.07</v>
      </c>
      <c r="D23" s="5" t="s">
        <v>92</v>
      </c>
      <c r="E23" s="6"/>
      <c r="F23" s="5"/>
    </row>
    <row r="24" spans="2:6" ht="14.25">
      <c r="B24" s="26" t="s">
        <v>109</v>
      </c>
      <c r="C24" s="14">
        <f>C22*2</f>
        <v>0.34</v>
      </c>
      <c r="D24" s="5" t="s">
        <v>92</v>
      </c>
      <c r="E24" s="6"/>
      <c r="F24" s="5"/>
    </row>
    <row r="27" spans="2:9" ht="18" thickBot="1">
      <c r="B27" s="40" t="s">
        <v>187</v>
      </c>
      <c r="C27" s="41"/>
      <c r="D27" s="41"/>
      <c r="E27" s="41"/>
      <c r="F27" s="41"/>
      <c r="G27" s="41"/>
      <c r="H27" s="41"/>
      <c r="I27" s="42"/>
    </row>
    <row r="28" spans="2:9" ht="15" thickBot="1" thickTop="1">
      <c r="B28" s="7" t="s">
        <v>110</v>
      </c>
      <c r="C28" s="8">
        <v>1</v>
      </c>
      <c r="D28" s="38" t="s">
        <v>90</v>
      </c>
      <c r="E28" s="43"/>
      <c r="F28" s="43"/>
      <c r="G28" s="43"/>
      <c r="H28" s="43"/>
      <c r="I28" s="39"/>
    </row>
    <row r="29" spans="2:9" ht="15" thickTop="1">
      <c r="B29" s="13" t="s">
        <v>111</v>
      </c>
      <c r="C29" s="13">
        <v>0.6</v>
      </c>
      <c r="D29" s="13">
        <v>1.2</v>
      </c>
      <c r="E29" s="13">
        <v>2.4</v>
      </c>
      <c r="F29" s="13" t="s">
        <v>112</v>
      </c>
      <c r="G29" s="13" t="s">
        <v>113</v>
      </c>
      <c r="H29" s="13" t="s">
        <v>114</v>
      </c>
      <c r="I29" s="13" t="s">
        <v>115</v>
      </c>
    </row>
    <row r="30" spans="2:9" ht="14.25">
      <c r="B30" s="26" t="s">
        <v>116</v>
      </c>
      <c r="C30" s="14">
        <f>C28*2.78</f>
        <v>2.78</v>
      </c>
      <c r="D30" s="14">
        <f>C28*0</f>
        <v>0</v>
      </c>
      <c r="E30" s="14">
        <f>C28*0.7</f>
        <v>0.7</v>
      </c>
      <c r="F30" s="14">
        <f>C28*52.82</f>
        <v>52.82</v>
      </c>
      <c r="G30" s="14">
        <f>C28*52.82</f>
        <v>52.82</v>
      </c>
      <c r="H30" s="14">
        <f>C28*0.7</f>
        <v>0.7</v>
      </c>
      <c r="I30" s="14">
        <f>C28*1.85</f>
        <v>1.85</v>
      </c>
    </row>
    <row r="31" spans="2:9" ht="14.25">
      <c r="B31" s="26" t="s">
        <v>117</v>
      </c>
      <c r="C31" s="14">
        <f>C28*2.78</f>
        <v>2.78</v>
      </c>
      <c r="D31" s="14">
        <v>0</v>
      </c>
      <c r="E31" s="14">
        <f>C28*0.7</f>
        <v>0.7</v>
      </c>
      <c r="F31" s="14">
        <f>C28*30.58</f>
        <v>30.58</v>
      </c>
      <c r="G31" s="14">
        <f>C28*30.58</f>
        <v>30.58</v>
      </c>
      <c r="H31" s="14">
        <f>C28*0.7</f>
        <v>0.7</v>
      </c>
      <c r="I31" s="14">
        <f>C28*1.85</f>
        <v>1.85</v>
      </c>
    </row>
    <row r="32" spans="2:9" ht="14.25">
      <c r="B32" s="26" t="s">
        <v>118</v>
      </c>
      <c r="C32" s="14">
        <f>C28*2.78</f>
        <v>2.78</v>
      </c>
      <c r="D32" s="14">
        <v>0</v>
      </c>
      <c r="E32" s="14">
        <f>C28*0.7</f>
        <v>0.7</v>
      </c>
      <c r="F32" s="14">
        <f>C28*25.02</f>
        <v>25.02</v>
      </c>
      <c r="G32" s="14">
        <f>C28*25.02</f>
        <v>25.02</v>
      </c>
      <c r="H32" s="14">
        <f>C28*0.7</f>
        <v>0.7</v>
      </c>
      <c r="I32" s="14">
        <f>C28*1.85</f>
        <v>1.85</v>
      </c>
    </row>
    <row r="33" spans="2:9" ht="14.25">
      <c r="B33" s="26" t="s">
        <v>119</v>
      </c>
      <c r="C33" s="14">
        <f>C28*2.78</f>
        <v>2.78</v>
      </c>
      <c r="D33" s="14">
        <v>0</v>
      </c>
      <c r="E33" s="14">
        <f>C28*0.7</f>
        <v>0.7</v>
      </c>
      <c r="F33" s="14">
        <f>C28*19.46</f>
        <v>19.46</v>
      </c>
      <c r="G33" s="14">
        <f>C28*19.46</f>
        <v>19.46</v>
      </c>
      <c r="H33" s="14">
        <f>C28*0.7</f>
        <v>0.7</v>
      </c>
      <c r="I33" s="14">
        <f>C28*1.85</f>
        <v>1.85</v>
      </c>
    </row>
    <row r="34" spans="2:9" ht="14.25">
      <c r="B34" s="26" t="s">
        <v>120</v>
      </c>
      <c r="C34" s="14">
        <f>C28*1.39</f>
        <v>1.39</v>
      </c>
      <c r="D34" s="14">
        <f>C28*1.39</f>
        <v>1.39</v>
      </c>
      <c r="E34" s="14">
        <f>C28*0.35</f>
        <v>0.35</v>
      </c>
      <c r="F34" s="14">
        <f>C28*16.68</f>
        <v>16.68</v>
      </c>
      <c r="G34" s="14">
        <f>C28*16.68</f>
        <v>16.68</v>
      </c>
      <c r="H34" s="14">
        <f>C28*0.35</f>
        <v>0.35</v>
      </c>
      <c r="I34" s="14">
        <f>C28*0.93</f>
        <v>0.93</v>
      </c>
    </row>
    <row r="35" spans="2:9" ht="14.25">
      <c r="B35" s="26" t="s">
        <v>121</v>
      </c>
      <c r="C35" s="14">
        <f>C28*1.39</f>
        <v>1.39</v>
      </c>
      <c r="D35" s="14">
        <f>C28*1.39</f>
        <v>1.39</v>
      </c>
      <c r="E35" s="14">
        <f>C28*0.35</f>
        <v>0.35</v>
      </c>
      <c r="F35" s="14">
        <f>C28*13.9</f>
        <v>13.9</v>
      </c>
      <c r="G35" s="14">
        <f>C28*13.9</f>
        <v>13.9</v>
      </c>
      <c r="H35" s="14">
        <f>C28*0.35</f>
        <v>0.35</v>
      </c>
      <c r="I35" s="14">
        <f>C28*0.93</f>
        <v>0.93</v>
      </c>
    </row>
    <row r="36" spans="2:9" ht="14.25">
      <c r="B36" s="26" t="s">
        <v>122</v>
      </c>
      <c r="C36" s="14">
        <f>C28*1.39</f>
        <v>1.39</v>
      </c>
      <c r="D36" s="14">
        <f>C28*1.39</f>
        <v>1.39</v>
      </c>
      <c r="E36" s="14">
        <f>C28*0.35</f>
        <v>0.35</v>
      </c>
      <c r="F36" s="14">
        <f>C28*11.12</f>
        <v>11.12</v>
      </c>
      <c r="G36" s="14">
        <f>C28*11.12</f>
        <v>11.12</v>
      </c>
      <c r="H36" s="14">
        <f>C28*0.35</f>
        <v>0.35</v>
      </c>
      <c r="I36" s="14">
        <f>C28*0.93</f>
        <v>0.93</v>
      </c>
    </row>
    <row r="37" spans="2:9" ht="14.25">
      <c r="B37" s="26" t="s">
        <v>123</v>
      </c>
      <c r="C37" s="14">
        <f>C28*1.39</f>
        <v>1.39</v>
      </c>
      <c r="D37" s="14">
        <f>C28*1.39</f>
        <v>1.39</v>
      </c>
      <c r="E37" s="14">
        <f>C28*0.35</f>
        <v>0.35</v>
      </c>
      <c r="F37" s="14">
        <f>C28*8.34</f>
        <v>8.34</v>
      </c>
      <c r="G37" s="14">
        <f>C28*8.34</f>
        <v>8.34</v>
      </c>
      <c r="H37" s="14">
        <f>C28*0.35</f>
        <v>0.35</v>
      </c>
      <c r="I37" s="14">
        <f>C28*0.93</f>
        <v>0.93</v>
      </c>
    </row>
    <row r="38" spans="2:9" ht="14.25">
      <c r="B38" s="26" t="s">
        <v>124</v>
      </c>
      <c r="C38" s="14">
        <f>C28*1.39</f>
        <v>1.39</v>
      </c>
      <c r="D38" s="14">
        <f>C28*1.39</f>
        <v>1.39</v>
      </c>
      <c r="E38" s="14">
        <f>C28*0.35</f>
        <v>0.35</v>
      </c>
      <c r="F38" s="14">
        <f>C28*5.56</f>
        <v>5.56</v>
      </c>
      <c r="G38" s="14">
        <f>C28*5.56</f>
        <v>5.56</v>
      </c>
      <c r="H38" s="14">
        <f>C28*0.35</f>
        <v>0.35</v>
      </c>
      <c r="I38" s="14">
        <f>C28*0.93</f>
        <v>0.93</v>
      </c>
    </row>
  </sheetData>
  <mergeCells count="6">
    <mergeCell ref="D28:I28"/>
    <mergeCell ref="B27:I27"/>
    <mergeCell ref="B2:F2"/>
    <mergeCell ref="B14:F14"/>
    <mergeCell ref="D3:F3"/>
    <mergeCell ref="D15:F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2009-12-26T22:15:24Z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